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firstSheet="1" activeTab="1"/>
  </bookViews>
  <sheets>
    <sheet name="Одесская" sheetId="5" state="hidden" r:id="rId1"/>
    <sheet name="формат бюджета" sheetId="6" r:id="rId2"/>
  </sheets>
  <definedNames>
    <definedName name="_xlnm._FilterDatabase" localSheetId="0" hidden="1">Одесская!$A$4:$F$172</definedName>
    <definedName name="_xlnm.Print_Area" localSheetId="1">'формат бюджета'!$A$1:$AU$85</definedName>
  </definedNames>
  <calcPr calcId="145621" iterate="1"/>
</workbook>
</file>

<file path=xl/calcChain.xml><?xml version="1.0" encoding="utf-8"?>
<calcChain xmlns="http://schemas.openxmlformats.org/spreadsheetml/2006/main">
  <c r="H26" i="5" l="1"/>
  <c r="K123" i="5" l="1"/>
  <c r="G175" i="5"/>
  <c r="M128" i="5"/>
  <c r="N128" i="5"/>
  <c r="O128" i="5"/>
  <c r="P128" i="5"/>
  <c r="Q128" i="5"/>
  <c r="R128" i="5"/>
  <c r="S128" i="5"/>
  <c r="T128" i="5"/>
  <c r="U128" i="5"/>
  <c r="V128" i="5"/>
  <c r="W128" i="5"/>
  <c r="X128" i="5"/>
  <c r="Y128" i="5"/>
  <c r="Z128" i="5"/>
  <c r="AA128" i="5"/>
  <c r="AB128" i="5"/>
  <c r="AC128" i="5"/>
  <c r="AD128" i="5"/>
  <c r="AE128" i="5"/>
  <c r="AF128" i="5"/>
  <c r="AG128" i="5"/>
  <c r="AH128" i="5"/>
  <c r="AI128" i="5"/>
  <c r="AJ128" i="5"/>
  <c r="AK128" i="5"/>
  <c r="AL128" i="5"/>
  <c r="AM128" i="5"/>
  <c r="AN128" i="5"/>
  <c r="AO128" i="5"/>
  <c r="AP128" i="5"/>
  <c r="AQ128" i="5"/>
  <c r="AR128" i="5"/>
  <c r="AS128" i="5"/>
  <c r="AT128" i="5"/>
  <c r="AU128" i="5"/>
  <c r="AV128" i="5"/>
  <c r="AW128" i="5"/>
  <c r="AX128" i="5"/>
  <c r="AY128" i="5"/>
  <c r="AZ128" i="5"/>
  <c r="BA128" i="5"/>
  <c r="BB128" i="5"/>
  <c r="BC128" i="5"/>
  <c r="BD128" i="5"/>
  <c r="F128" i="5"/>
  <c r="M121" i="5" l="1"/>
  <c r="N121" i="5"/>
  <c r="O121" i="5"/>
  <c r="P121" i="5"/>
  <c r="Q121" i="5"/>
  <c r="R121" i="5"/>
  <c r="S121" i="5"/>
  <c r="T121" i="5"/>
  <c r="U121" i="5"/>
  <c r="V121" i="5"/>
  <c r="W121" i="5"/>
  <c r="X121" i="5"/>
  <c r="Y121" i="5"/>
  <c r="Z121" i="5"/>
  <c r="AA121" i="5"/>
  <c r="AB121" i="5"/>
  <c r="AC121" i="5"/>
  <c r="AD121" i="5"/>
  <c r="AE121" i="5"/>
  <c r="AF121" i="5"/>
  <c r="AG121" i="5"/>
  <c r="AH121" i="5"/>
  <c r="AI121" i="5"/>
  <c r="AJ121" i="5"/>
  <c r="AK121" i="5"/>
  <c r="AL121" i="5"/>
  <c r="AM121" i="5"/>
  <c r="AN121" i="5"/>
  <c r="AO121" i="5"/>
  <c r="AP121" i="5"/>
  <c r="AQ121" i="5"/>
  <c r="AR121" i="5"/>
  <c r="AS121" i="5"/>
  <c r="AT121" i="5"/>
  <c r="AU121" i="5"/>
  <c r="AV121" i="5"/>
  <c r="AW121" i="5"/>
  <c r="AX121" i="5"/>
  <c r="AY121" i="5"/>
  <c r="AZ121" i="5"/>
  <c r="BA121" i="5"/>
  <c r="BB121" i="5"/>
  <c r="BC121" i="5"/>
  <c r="BD121" i="5"/>
  <c r="F121" i="5"/>
  <c r="M153" i="5" l="1"/>
  <c r="N153" i="5"/>
  <c r="O153" i="5"/>
  <c r="P153" i="5"/>
  <c r="Q153" i="5"/>
  <c r="R153" i="5"/>
  <c r="S153" i="5"/>
  <c r="T153" i="5"/>
  <c r="U153" i="5"/>
  <c r="V153" i="5"/>
  <c r="W153" i="5"/>
  <c r="X153" i="5"/>
  <c r="Y153" i="5"/>
  <c r="Z153" i="5"/>
  <c r="AA153" i="5"/>
  <c r="AB153" i="5"/>
  <c r="AC153" i="5"/>
  <c r="AD153" i="5"/>
  <c r="AE153" i="5"/>
  <c r="AF153" i="5"/>
  <c r="AG153" i="5"/>
  <c r="AH153" i="5"/>
  <c r="AI153" i="5"/>
  <c r="AJ153" i="5"/>
  <c r="AK153" i="5"/>
  <c r="AL153" i="5"/>
  <c r="AM153" i="5"/>
  <c r="AN153" i="5"/>
  <c r="AO153" i="5"/>
  <c r="AP153" i="5"/>
  <c r="AQ153" i="5"/>
  <c r="AR153" i="5"/>
  <c r="AS153" i="5"/>
  <c r="AT153" i="5"/>
  <c r="AU153" i="5"/>
  <c r="AV153" i="5"/>
  <c r="AW153" i="5"/>
  <c r="AX153" i="5"/>
  <c r="AY153" i="5"/>
  <c r="AZ153" i="5"/>
  <c r="BA153" i="5"/>
  <c r="BB153" i="5"/>
  <c r="BC153" i="5"/>
  <c r="BD153" i="5"/>
  <c r="F153" i="5"/>
  <c r="M145" i="5"/>
  <c r="N145" i="5"/>
  <c r="O145" i="5"/>
  <c r="P145" i="5"/>
  <c r="Q145" i="5"/>
  <c r="R145" i="5"/>
  <c r="S145" i="5"/>
  <c r="T145" i="5"/>
  <c r="U145" i="5"/>
  <c r="V145" i="5"/>
  <c r="W145" i="5"/>
  <c r="X145" i="5"/>
  <c r="Y145" i="5"/>
  <c r="Z145" i="5"/>
  <c r="AA145" i="5"/>
  <c r="AB145" i="5"/>
  <c r="AC145" i="5"/>
  <c r="AD145" i="5"/>
  <c r="AE145" i="5"/>
  <c r="AF145" i="5"/>
  <c r="AG145" i="5"/>
  <c r="AH145" i="5"/>
  <c r="AI145" i="5"/>
  <c r="AJ145" i="5"/>
  <c r="AK145" i="5"/>
  <c r="AL145" i="5"/>
  <c r="AM145" i="5"/>
  <c r="AN145" i="5"/>
  <c r="AO145" i="5"/>
  <c r="AP145" i="5"/>
  <c r="AQ145" i="5"/>
  <c r="AR145" i="5"/>
  <c r="AS145" i="5"/>
  <c r="AT145" i="5"/>
  <c r="AU145" i="5"/>
  <c r="AV145" i="5"/>
  <c r="AW145" i="5"/>
  <c r="AX145" i="5"/>
  <c r="AY145" i="5"/>
  <c r="AZ145" i="5"/>
  <c r="BA145" i="5"/>
  <c r="BB145" i="5"/>
  <c r="BC145" i="5"/>
  <c r="BD145" i="5"/>
  <c r="F145" i="5"/>
  <c r="AA137" i="5"/>
  <c r="AA175" i="5" s="1"/>
  <c r="AB137" i="5"/>
  <c r="AC137" i="5"/>
  <c r="AC175" i="5" s="1"/>
  <c r="AD137" i="5"/>
  <c r="AE137" i="5"/>
  <c r="AE175" i="5" s="1"/>
  <c r="AF137" i="5"/>
  <c r="AG137" i="5"/>
  <c r="AG175" i="5" s="1"/>
  <c r="AH137" i="5"/>
  <c r="AI137" i="5"/>
  <c r="AI175" i="5" s="1"/>
  <c r="AJ137" i="5"/>
  <c r="AK137" i="5"/>
  <c r="AK175" i="5" s="1"/>
  <c r="AL137" i="5"/>
  <c r="AM137" i="5"/>
  <c r="AM175" i="5" s="1"/>
  <c r="AN137" i="5"/>
  <c r="AO137" i="5"/>
  <c r="AO175" i="5" s="1"/>
  <c r="AP137" i="5"/>
  <c r="AQ137" i="5"/>
  <c r="AQ175" i="5" s="1"/>
  <c r="AR137" i="5"/>
  <c r="AS137" i="5"/>
  <c r="AS175" i="5" s="1"/>
  <c r="AT137" i="5"/>
  <c r="AU137" i="5"/>
  <c r="AU175" i="5" s="1"/>
  <c r="AV137" i="5"/>
  <c r="AW137" i="5"/>
  <c r="AW175" i="5" s="1"/>
  <c r="AX137" i="5"/>
  <c r="AY137" i="5"/>
  <c r="AY175" i="5" s="1"/>
  <c r="AZ137" i="5"/>
  <c r="BA137" i="5"/>
  <c r="BA175" i="5" s="1"/>
  <c r="BB137" i="5"/>
  <c r="BC137" i="5"/>
  <c r="BC175" i="5" s="1"/>
  <c r="BD137" i="5"/>
  <c r="M137" i="5"/>
  <c r="M175" i="5" s="1"/>
  <c r="N137" i="5"/>
  <c r="O137" i="5"/>
  <c r="O175" i="5" s="1"/>
  <c r="P137" i="5"/>
  <c r="Q137" i="5"/>
  <c r="Q175" i="5" s="1"/>
  <c r="R137" i="5"/>
  <c r="S137" i="5"/>
  <c r="S175" i="5" s="1"/>
  <c r="T137" i="5"/>
  <c r="U137" i="5"/>
  <c r="U175" i="5" s="1"/>
  <c r="V137" i="5"/>
  <c r="W137" i="5"/>
  <c r="W175" i="5" s="1"/>
  <c r="X137" i="5"/>
  <c r="Y137" i="5"/>
  <c r="Y175" i="5" s="1"/>
  <c r="Z137" i="5"/>
  <c r="F137" i="5"/>
  <c r="K93" i="5"/>
  <c r="L93" i="5"/>
  <c r="F98" i="5"/>
  <c r="K98" i="5" s="1"/>
  <c r="L98" i="5"/>
  <c r="K108" i="5"/>
  <c r="L108" i="5"/>
  <c r="F22" i="5"/>
  <c r="L22" i="5"/>
  <c r="L25" i="5"/>
  <c r="K25" i="5"/>
  <c r="L46" i="5"/>
  <c r="K46" i="5"/>
  <c r="L42" i="5"/>
  <c r="Z175" i="5" l="1"/>
  <c r="X175" i="5"/>
  <c r="X176" i="5" s="1"/>
  <c r="V175" i="5"/>
  <c r="T175" i="5"/>
  <c r="R176" i="5" s="1"/>
  <c r="R175" i="5"/>
  <c r="P175" i="5"/>
  <c r="O176" i="5" s="1"/>
  <c r="N175" i="5"/>
  <c r="BD175" i="5"/>
  <c r="BB176" i="5" s="1"/>
  <c r="BB175" i="5"/>
  <c r="AZ175" i="5"/>
  <c r="AX175" i="5"/>
  <c r="AV175" i="5"/>
  <c r="AT175" i="5"/>
  <c r="AR175" i="5"/>
  <c r="AP176" i="5" s="1"/>
  <c r="AP175" i="5"/>
  <c r="AN175" i="5"/>
  <c r="AL175" i="5"/>
  <c r="AJ175" i="5"/>
  <c r="AH175" i="5"/>
  <c r="AF175" i="5"/>
  <c r="AD176" i="5" s="1"/>
  <c r="AD175" i="5"/>
  <c r="AB175" i="5"/>
  <c r="AV176" i="5"/>
  <c r="AJ176" i="5"/>
  <c r="U176" i="5"/>
  <c r="AY176" i="5"/>
  <c r="AS176" i="5"/>
  <c r="AM176" i="5"/>
  <c r="AG176" i="5"/>
  <c r="AA176" i="5"/>
  <c r="K22" i="5"/>
  <c r="F175" i="5"/>
  <c r="M26" i="5"/>
  <c r="H73" i="5"/>
  <c r="G101" i="5"/>
  <c r="G38" i="5" l="1"/>
  <c r="G26" i="5"/>
  <c r="G96" i="5" l="1"/>
  <c r="G64" i="5"/>
  <c r="G109" i="5"/>
  <c r="H109" i="5"/>
  <c r="G47" i="5"/>
  <c r="G95" i="5"/>
  <c r="H95" i="5"/>
  <c r="L49" i="5"/>
  <c r="K49" i="5"/>
  <c r="H17" i="5"/>
  <c r="H37" i="5"/>
  <c r="G37" i="5"/>
  <c r="G59" i="5"/>
  <c r="G61" i="5"/>
  <c r="G42" i="5" l="1"/>
  <c r="K42" i="5" s="1"/>
  <c r="G43" i="5"/>
  <c r="G17" i="5"/>
  <c r="M79" i="5" l="1"/>
  <c r="H83" i="5"/>
  <c r="H79" i="5"/>
  <c r="L116" i="5" l="1"/>
  <c r="L117" i="5"/>
  <c r="L118" i="5"/>
  <c r="K138" i="5"/>
  <c r="L132" i="5"/>
  <c r="L133" i="5"/>
  <c r="L134" i="5"/>
  <c r="L135" i="5"/>
  <c r="L136" i="5"/>
  <c r="L138" i="5"/>
  <c r="K51" i="5"/>
  <c r="K52" i="5"/>
  <c r="K53" i="5"/>
  <c r="K136" i="5"/>
  <c r="K135" i="5"/>
  <c r="K134" i="5"/>
  <c r="K133" i="5"/>
  <c r="K132" i="5"/>
  <c r="L120" i="5"/>
  <c r="L121" i="5" s="1"/>
  <c r="K120" i="5"/>
  <c r="K121" i="5" s="1"/>
  <c r="L149" i="5"/>
  <c r="L150" i="5"/>
  <c r="L151" i="5"/>
  <c r="L152" i="5"/>
  <c r="L154" i="5"/>
  <c r="K149" i="5"/>
  <c r="K150" i="5"/>
  <c r="K151" i="5"/>
  <c r="K152" i="5"/>
  <c r="K154" i="5"/>
  <c r="G8" i="5"/>
  <c r="AJ107" i="5"/>
  <c r="AJ123" i="5" s="1"/>
  <c r="AI107" i="5"/>
  <c r="AH107" i="5"/>
  <c r="AG107" i="5"/>
  <c r="AF107" i="5"/>
  <c r="AE107" i="5"/>
  <c r="AE123" i="5" s="1"/>
  <c r="AD107" i="5"/>
  <c r="AC107" i="5"/>
  <c r="AB107" i="5"/>
  <c r="AA107" i="5"/>
  <c r="Z107" i="5"/>
  <c r="Y107" i="5"/>
  <c r="Y123" i="5" s="1"/>
  <c r="X107" i="5"/>
  <c r="W107" i="5"/>
  <c r="V107" i="5"/>
  <c r="V123" i="5" s="1"/>
  <c r="U107" i="5"/>
  <c r="U123" i="5" s="1"/>
  <c r="T107" i="5"/>
  <c r="T123" i="5" s="1"/>
  <c r="S107" i="5"/>
  <c r="S123" i="5" s="1"/>
  <c r="Q107" i="5"/>
  <c r="Q123" i="5" s="1"/>
  <c r="R107" i="5"/>
  <c r="R123" i="5" s="1"/>
  <c r="P107" i="5"/>
  <c r="P123" i="5" s="1"/>
  <c r="M107" i="5"/>
  <c r="K130" i="5"/>
  <c r="K131" i="5"/>
  <c r="K139" i="5"/>
  <c r="K140" i="5"/>
  <c r="K141" i="5"/>
  <c r="K142" i="5"/>
  <c r="K143" i="5"/>
  <c r="K144" i="5"/>
  <c r="K145" i="5" s="1"/>
  <c r="K146" i="5"/>
  <c r="K147" i="5"/>
  <c r="L125" i="5"/>
  <c r="L126" i="5"/>
  <c r="L127" i="5"/>
  <c r="L129" i="5"/>
  <c r="L130" i="5"/>
  <c r="L131" i="5"/>
  <c r="L139" i="5"/>
  <c r="L140" i="5"/>
  <c r="L141" i="5"/>
  <c r="L142" i="5"/>
  <c r="L143" i="5"/>
  <c r="L144" i="5"/>
  <c r="L145" i="5" s="1"/>
  <c r="L146" i="5"/>
  <c r="L147" i="5"/>
  <c r="L148" i="5"/>
  <c r="L153" i="5" s="1"/>
  <c r="L155" i="5"/>
  <c r="L156" i="5"/>
  <c r="L157" i="5"/>
  <c r="L158" i="5"/>
  <c r="L159" i="5"/>
  <c r="L89" i="5"/>
  <c r="L90" i="5"/>
  <c r="L91" i="5"/>
  <c r="L92" i="5"/>
  <c r="K89" i="5"/>
  <c r="K90" i="5"/>
  <c r="K91" i="5"/>
  <c r="K92" i="5"/>
  <c r="Q69" i="5"/>
  <c r="O69" i="5"/>
  <c r="Q68" i="5"/>
  <c r="O68" i="5"/>
  <c r="O79" i="5"/>
  <c r="F122" i="5"/>
  <c r="G9" i="5"/>
  <c r="G7" i="5" s="1"/>
  <c r="N79" i="5"/>
  <c r="L24" i="5"/>
  <c r="K24" i="5"/>
  <c r="F109" i="5"/>
  <c r="M109" i="5"/>
  <c r="L85" i="5"/>
  <c r="L86" i="5"/>
  <c r="L87" i="5"/>
  <c r="L94" i="5"/>
  <c r="L99" i="5"/>
  <c r="L100" i="5"/>
  <c r="K72" i="5"/>
  <c r="K94" i="5"/>
  <c r="K99" i="5"/>
  <c r="K100" i="5"/>
  <c r="M17" i="5"/>
  <c r="L17" i="5" s="1"/>
  <c r="P162" i="5"/>
  <c r="Q162" i="5"/>
  <c r="R162" i="5"/>
  <c r="S162" i="5"/>
  <c r="T162" i="5"/>
  <c r="U162" i="5"/>
  <c r="V162" i="5"/>
  <c r="W162" i="5"/>
  <c r="X162" i="5"/>
  <c r="Y162" i="5"/>
  <c r="Z162" i="5"/>
  <c r="AA162" i="5"/>
  <c r="AB162" i="5"/>
  <c r="AC162" i="5"/>
  <c r="AD162" i="5"/>
  <c r="AE162" i="5"/>
  <c r="AF162" i="5"/>
  <c r="AG162" i="5"/>
  <c r="AH162" i="5"/>
  <c r="AI162" i="5"/>
  <c r="AJ162" i="5"/>
  <c r="AK162" i="5"/>
  <c r="AL162" i="5"/>
  <c r="AM162" i="5"/>
  <c r="AN162" i="5"/>
  <c r="AO162" i="5"/>
  <c r="AP162" i="5"/>
  <c r="AQ162" i="5"/>
  <c r="AR162" i="5"/>
  <c r="AS162" i="5"/>
  <c r="AT162" i="5"/>
  <c r="O162" i="5"/>
  <c r="M163" i="5"/>
  <c r="L163" i="5" s="1"/>
  <c r="G163" i="5"/>
  <c r="K163" i="5" s="1"/>
  <c r="C100" i="5"/>
  <c r="C57" i="5" s="1"/>
  <c r="C13" i="5"/>
  <c r="P164" i="5"/>
  <c r="Q164" i="5"/>
  <c r="R164" i="5"/>
  <c r="S164" i="5"/>
  <c r="T164" i="5"/>
  <c r="U164" i="5"/>
  <c r="V164" i="5"/>
  <c r="W164" i="5"/>
  <c r="X164" i="5"/>
  <c r="Y164" i="5"/>
  <c r="Z164" i="5"/>
  <c r="AA164" i="5"/>
  <c r="AB164" i="5"/>
  <c r="AC164" i="5"/>
  <c r="AD164" i="5"/>
  <c r="AE164" i="5"/>
  <c r="AF164" i="5"/>
  <c r="AG164" i="5"/>
  <c r="AH164" i="5"/>
  <c r="AI164" i="5"/>
  <c r="AJ164" i="5"/>
  <c r="AK164" i="5"/>
  <c r="AL164" i="5"/>
  <c r="AM164" i="5"/>
  <c r="AN164" i="5"/>
  <c r="AO164" i="5"/>
  <c r="AP164" i="5"/>
  <c r="AQ164" i="5"/>
  <c r="AR164" i="5"/>
  <c r="AS164" i="5"/>
  <c r="AT164" i="5"/>
  <c r="AU164" i="5"/>
  <c r="O164" i="5"/>
  <c r="N164" i="5"/>
  <c r="N161" i="5" s="1"/>
  <c r="M164" i="5"/>
  <c r="G164" i="5"/>
  <c r="K164" i="5" s="1"/>
  <c r="M168" i="5"/>
  <c r="M166" i="5" s="1"/>
  <c r="K162" i="5"/>
  <c r="N168" i="5"/>
  <c r="N166" i="5" s="1"/>
  <c r="O168" i="5"/>
  <c r="O166" i="5" s="1"/>
  <c r="P168" i="5"/>
  <c r="P166" i="5" s="1"/>
  <c r="Q168" i="5"/>
  <c r="Q166" i="5" s="1"/>
  <c r="R168" i="5"/>
  <c r="S168" i="5"/>
  <c r="S166" i="5" s="1"/>
  <c r="T168" i="5"/>
  <c r="T166" i="5" s="1"/>
  <c r="U168" i="5"/>
  <c r="V168" i="5"/>
  <c r="W168" i="5"/>
  <c r="X168" i="5"/>
  <c r="Y168" i="5"/>
  <c r="Z168" i="5"/>
  <c r="AA168" i="5"/>
  <c r="AB168" i="5"/>
  <c r="AC168" i="5"/>
  <c r="AD168" i="5"/>
  <c r="AE168" i="5"/>
  <c r="AF168" i="5"/>
  <c r="AG168" i="5"/>
  <c r="AH168" i="5"/>
  <c r="AI168" i="5"/>
  <c r="AJ168" i="5"/>
  <c r="AK168" i="5"/>
  <c r="AL168" i="5"/>
  <c r="AM168" i="5"/>
  <c r="AN168" i="5"/>
  <c r="AO168" i="5"/>
  <c r="AP168" i="5"/>
  <c r="AQ168" i="5"/>
  <c r="AR168" i="5"/>
  <c r="AS168" i="5"/>
  <c r="AT168" i="5"/>
  <c r="AU168" i="5"/>
  <c r="AV168" i="5"/>
  <c r="AW168" i="5"/>
  <c r="AX168" i="5"/>
  <c r="AY168" i="5"/>
  <c r="AZ168" i="5"/>
  <c r="BA168" i="5"/>
  <c r="BB168" i="5"/>
  <c r="BC168" i="5"/>
  <c r="BD168" i="5"/>
  <c r="G166" i="5"/>
  <c r="BC167" i="5"/>
  <c r="BD167" i="5"/>
  <c r="BB167" i="5"/>
  <c r="AZ167" i="5"/>
  <c r="BA167" i="5"/>
  <c r="AY167" i="5"/>
  <c r="AW167" i="5"/>
  <c r="AX167" i="5"/>
  <c r="AV167" i="5"/>
  <c r="AT167" i="5"/>
  <c r="AU167" i="5"/>
  <c r="AS167" i="5"/>
  <c r="AQ167" i="5"/>
  <c r="AR167" i="5"/>
  <c r="AP167" i="5"/>
  <c r="AN167" i="5"/>
  <c r="AO167" i="5"/>
  <c r="AM167" i="5"/>
  <c r="AK167" i="5"/>
  <c r="AL167" i="5"/>
  <c r="AJ167" i="5"/>
  <c r="AH167" i="5"/>
  <c r="AI167" i="5"/>
  <c r="AG167" i="5"/>
  <c r="AF167" i="5"/>
  <c r="AE167" i="5"/>
  <c r="AD167" i="5"/>
  <c r="AC167" i="5"/>
  <c r="AB167" i="5"/>
  <c r="AA167" i="5"/>
  <c r="Z167" i="5"/>
  <c r="Y167" i="5"/>
  <c r="X167" i="5"/>
  <c r="W167" i="5"/>
  <c r="V167" i="5"/>
  <c r="U167" i="5"/>
  <c r="K85" i="5"/>
  <c r="K86" i="5"/>
  <c r="K87" i="5"/>
  <c r="K116" i="5"/>
  <c r="K117" i="5"/>
  <c r="K118" i="5"/>
  <c r="K119" i="5"/>
  <c r="K122" i="5"/>
  <c r="K124" i="5"/>
  <c r="K125" i="5"/>
  <c r="K126" i="5"/>
  <c r="K127" i="5"/>
  <c r="K129" i="5"/>
  <c r="K148" i="5"/>
  <c r="K153" i="5" s="1"/>
  <c r="K155" i="5"/>
  <c r="K156" i="5"/>
  <c r="K157" i="5"/>
  <c r="K158" i="5"/>
  <c r="K159" i="5"/>
  <c r="K160" i="5"/>
  <c r="K165" i="5"/>
  <c r="K167" i="5"/>
  <c r="K169" i="5"/>
  <c r="L165" i="5"/>
  <c r="L169" i="5"/>
  <c r="L171" i="5"/>
  <c r="G171" i="5"/>
  <c r="K171" i="5" s="1"/>
  <c r="Y57" i="5"/>
  <c r="AE57" i="5"/>
  <c r="AK57" i="5"/>
  <c r="AL57" i="5"/>
  <c r="AM57" i="5"/>
  <c r="AN57" i="5"/>
  <c r="AO57" i="5"/>
  <c r="AP57" i="5"/>
  <c r="AQ57" i="5"/>
  <c r="AR57" i="5"/>
  <c r="AS57" i="5"/>
  <c r="AT57" i="5"/>
  <c r="AU57" i="5"/>
  <c r="AV57" i="5"/>
  <c r="AW57" i="5"/>
  <c r="AX57" i="5"/>
  <c r="AY57" i="5"/>
  <c r="AZ57" i="5"/>
  <c r="BA57" i="5"/>
  <c r="BB57" i="5"/>
  <c r="BC57" i="5"/>
  <c r="BD57" i="5"/>
  <c r="K58" i="5"/>
  <c r="AV161" i="5"/>
  <c r="AW161" i="5"/>
  <c r="AX161" i="5"/>
  <c r="AY161" i="5"/>
  <c r="AZ161" i="5"/>
  <c r="BA161" i="5"/>
  <c r="BB161" i="5"/>
  <c r="BC161" i="5"/>
  <c r="BD161" i="5"/>
  <c r="F161" i="5"/>
  <c r="F166" i="5"/>
  <c r="R166" i="5"/>
  <c r="M170" i="5"/>
  <c r="N170" i="5"/>
  <c r="O170" i="5"/>
  <c r="P170" i="5"/>
  <c r="Q170" i="5"/>
  <c r="R170" i="5"/>
  <c r="S170" i="5"/>
  <c r="T170" i="5"/>
  <c r="U170" i="5"/>
  <c r="V170" i="5"/>
  <c r="W170" i="5"/>
  <c r="X170" i="5"/>
  <c r="Y170" i="5"/>
  <c r="Z170" i="5"/>
  <c r="AA170" i="5"/>
  <c r="AB170" i="5"/>
  <c r="AC170" i="5"/>
  <c r="AD170" i="5"/>
  <c r="AE170" i="5"/>
  <c r="AF170" i="5"/>
  <c r="AG170" i="5"/>
  <c r="AH170" i="5"/>
  <c r="AI170" i="5"/>
  <c r="AJ170" i="5"/>
  <c r="AK170" i="5"/>
  <c r="AL170" i="5"/>
  <c r="AM170" i="5"/>
  <c r="AN170" i="5"/>
  <c r="AO170" i="5"/>
  <c r="AP170" i="5"/>
  <c r="AQ170" i="5"/>
  <c r="AR170" i="5"/>
  <c r="AS170" i="5"/>
  <c r="AT170" i="5"/>
  <c r="AU170" i="5"/>
  <c r="AV170" i="5"/>
  <c r="AW170" i="5"/>
  <c r="AX170" i="5"/>
  <c r="AY170" i="5"/>
  <c r="AZ170" i="5"/>
  <c r="BA170" i="5"/>
  <c r="BB170" i="5"/>
  <c r="BC170" i="5"/>
  <c r="BD170" i="5"/>
  <c r="F170" i="5"/>
  <c r="L160" i="5"/>
  <c r="K12" i="5"/>
  <c r="L11" i="5"/>
  <c r="K11" i="5"/>
  <c r="P13" i="5"/>
  <c r="Q13" i="5"/>
  <c r="R13" i="5"/>
  <c r="S13" i="5"/>
  <c r="T13" i="5"/>
  <c r="U13" i="5"/>
  <c r="V13" i="5"/>
  <c r="W13" i="5"/>
  <c r="X13" i="5"/>
  <c r="Y13" i="5"/>
  <c r="Z13" i="5"/>
  <c r="AA13" i="5"/>
  <c r="AB13" i="5"/>
  <c r="AC13" i="5"/>
  <c r="AD13" i="5"/>
  <c r="AF13" i="5"/>
  <c r="AG13" i="5"/>
  <c r="AH13" i="5"/>
  <c r="AI13" i="5"/>
  <c r="AJ13" i="5"/>
  <c r="AK13" i="5"/>
  <c r="AL13" i="5"/>
  <c r="AM13" i="5"/>
  <c r="AN13" i="5"/>
  <c r="AO13" i="5"/>
  <c r="AP13" i="5"/>
  <c r="AQ13" i="5"/>
  <c r="AR13" i="5"/>
  <c r="AS13" i="5"/>
  <c r="AT13" i="5"/>
  <c r="AU13" i="5"/>
  <c r="AV13" i="5"/>
  <c r="AW13" i="5"/>
  <c r="AX13" i="5"/>
  <c r="AY13" i="5"/>
  <c r="AZ13" i="5"/>
  <c r="BA13" i="5"/>
  <c r="BB13" i="5"/>
  <c r="BC13" i="5"/>
  <c r="BD13" i="5"/>
  <c r="H13" i="5"/>
  <c r="M7" i="5"/>
  <c r="N7" i="5"/>
  <c r="O7" i="5"/>
  <c r="P7" i="5"/>
  <c r="Q7" i="5"/>
  <c r="R7" i="5"/>
  <c r="S7" i="5"/>
  <c r="T7" i="5"/>
  <c r="U7" i="5"/>
  <c r="V7" i="5"/>
  <c r="W7" i="5"/>
  <c r="X7" i="5"/>
  <c r="Y7" i="5"/>
  <c r="Z7" i="5"/>
  <c r="AA7" i="5"/>
  <c r="AB7" i="5"/>
  <c r="AC7" i="5"/>
  <c r="AD7" i="5"/>
  <c r="AE7" i="5"/>
  <c r="AF7" i="5"/>
  <c r="AG7" i="5"/>
  <c r="AH7" i="5"/>
  <c r="AI7" i="5"/>
  <c r="AJ7" i="5"/>
  <c r="AK7" i="5"/>
  <c r="AL7" i="5"/>
  <c r="AM7" i="5"/>
  <c r="AN7" i="5"/>
  <c r="AO7" i="5"/>
  <c r="AP7" i="5"/>
  <c r="AQ7" i="5"/>
  <c r="AR7" i="5"/>
  <c r="AS7" i="5"/>
  <c r="AT7" i="5"/>
  <c r="AU7" i="5"/>
  <c r="AV7" i="5"/>
  <c r="AW7" i="5"/>
  <c r="AX7" i="5"/>
  <c r="AY7" i="5"/>
  <c r="AZ7" i="5"/>
  <c r="BA7" i="5"/>
  <c r="BB7" i="5"/>
  <c r="BC7" i="5"/>
  <c r="BD7" i="5"/>
  <c r="H7" i="5"/>
  <c r="N5" i="5"/>
  <c r="O5" i="5"/>
  <c r="P5" i="5"/>
  <c r="Q5" i="5"/>
  <c r="R5" i="5"/>
  <c r="S5" i="5"/>
  <c r="T5" i="5"/>
  <c r="U5" i="5"/>
  <c r="V5" i="5"/>
  <c r="W5" i="5"/>
  <c r="X5" i="5"/>
  <c r="Y5" i="5"/>
  <c r="Z5" i="5"/>
  <c r="AA5" i="5"/>
  <c r="AB5" i="5"/>
  <c r="AC5" i="5"/>
  <c r="AD5" i="5"/>
  <c r="AE5" i="5"/>
  <c r="AF5" i="5"/>
  <c r="AG5" i="5"/>
  <c r="AH5" i="5"/>
  <c r="AI5" i="5"/>
  <c r="AJ5" i="5"/>
  <c r="AK5" i="5"/>
  <c r="AL5" i="5"/>
  <c r="AM5" i="5"/>
  <c r="AN5" i="5"/>
  <c r="AO5" i="5"/>
  <c r="AP5" i="5"/>
  <c r="AQ5" i="5"/>
  <c r="AR5" i="5"/>
  <c r="AS5" i="5"/>
  <c r="AT5" i="5"/>
  <c r="AU5" i="5"/>
  <c r="AV5" i="5"/>
  <c r="AW5" i="5"/>
  <c r="AX5" i="5"/>
  <c r="AY5" i="5"/>
  <c r="AZ5" i="5"/>
  <c r="BA5" i="5"/>
  <c r="BB5" i="5"/>
  <c r="BC5" i="5"/>
  <c r="BD5" i="5"/>
  <c r="M5" i="5"/>
  <c r="H5" i="5"/>
  <c r="G5" i="5"/>
  <c r="F5" i="5"/>
  <c r="L6" i="5"/>
  <c r="K6" i="5"/>
  <c r="F10" i="5"/>
  <c r="K10" i="5" s="1"/>
  <c r="L14" i="5"/>
  <c r="K23" i="5"/>
  <c r="K8" i="5"/>
  <c r="K14" i="5"/>
  <c r="K15" i="5"/>
  <c r="K16" i="5"/>
  <c r="L15" i="5"/>
  <c r="L23" i="5"/>
  <c r="L8" i="5"/>
  <c r="L9" i="5"/>
  <c r="L10" i="5"/>
  <c r="L12" i="5"/>
  <c r="F9" i="5"/>
  <c r="X57" i="5" l="1"/>
  <c r="X123" i="5"/>
  <c r="Z57" i="5"/>
  <c r="Z123" i="5"/>
  <c r="AB57" i="5"/>
  <c r="AB123" i="5"/>
  <c r="AD57" i="5"/>
  <c r="AD123" i="5"/>
  <c r="AF57" i="5"/>
  <c r="AF123" i="5"/>
  <c r="AH57" i="5"/>
  <c r="AH123" i="5"/>
  <c r="W57" i="5"/>
  <c r="W123" i="5"/>
  <c r="AA57" i="5"/>
  <c r="AA123" i="5"/>
  <c r="AC57" i="5"/>
  <c r="AC123" i="5"/>
  <c r="AG57" i="5"/>
  <c r="AG123" i="5"/>
  <c r="AI57" i="5"/>
  <c r="AI123" i="5"/>
  <c r="L137" i="5"/>
  <c r="L175" i="5" s="1"/>
  <c r="L128" i="5"/>
  <c r="K137" i="5"/>
  <c r="K128" i="5"/>
  <c r="AB161" i="5"/>
  <c r="AI166" i="5"/>
  <c r="AN166" i="5"/>
  <c r="AZ166" i="5"/>
  <c r="AZ172" i="5" s="1"/>
  <c r="AZ178" i="5" s="1"/>
  <c r="AF166" i="5"/>
  <c r="AO166" i="5"/>
  <c r="AH166" i="5"/>
  <c r="AU166" i="5"/>
  <c r="AT166" i="5"/>
  <c r="BA166" i="5"/>
  <c r="BA172" i="5" s="1"/>
  <c r="BA178" i="5" s="1"/>
  <c r="AR161" i="5"/>
  <c r="X161" i="5"/>
  <c r="AT161" i="5"/>
  <c r="AT172" i="5" s="1"/>
  <c r="AT178" i="5" s="1"/>
  <c r="AL161" i="5"/>
  <c r="AC161" i="5"/>
  <c r="W166" i="5"/>
  <c r="AA166" i="5"/>
  <c r="AE166" i="5"/>
  <c r="AM166" i="5"/>
  <c r="AY166" i="5"/>
  <c r="AY172" i="5" s="1"/>
  <c r="M161" i="5"/>
  <c r="AB166" i="5"/>
  <c r="R161" i="5"/>
  <c r="AJ161" i="5"/>
  <c r="G161" i="5"/>
  <c r="K161" i="5" s="1"/>
  <c r="V166" i="5"/>
  <c r="AU161" i="5"/>
  <c r="AQ161" i="5"/>
  <c r="AM161" i="5"/>
  <c r="AI161" i="5"/>
  <c r="AE161" i="5"/>
  <c r="AA161" i="5"/>
  <c r="W161" i="5"/>
  <c r="S161" i="5"/>
  <c r="AO161" i="5"/>
  <c r="Y161" i="5"/>
  <c r="Q161" i="5"/>
  <c r="AP161" i="5"/>
  <c r="AH161" i="5"/>
  <c r="AD161" i="5"/>
  <c r="Z161" i="5"/>
  <c r="O161" i="5"/>
  <c r="C172" i="5"/>
  <c r="C178" i="5" s="1"/>
  <c r="V161" i="5"/>
  <c r="U166" i="5"/>
  <c r="AS161" i="5"/>
  <c r="AK161" i="5"/>
  <c r="AG161" i="5"/>
  <c r="U161" i="5"/>
  <c r="Z166" i="5"/>
  <c r="AN161" i="5"/>
  <c r="AF161" i="5"/>
  <c r="T161" i="5"/>
  <c r="M13" i="5"/>
  <c r="AE13" i="5"/>
  <c r="L16" i="5"/>
  <c r="L162" i="5"/>
  <c r="P161" i="5"/>
  <c r="X166" i="5"/>
  <c r="AJ166" i="5"/>
  <c r="AV166" i="5"/>
  <c r="AV172" i="5" s="1"/>
  <c r="G170" i="5"/>
  <c r="K170" i="5" s="1"/>
  <c r="L170" i="5"/>
  <c r="AR166" i="5"/>
  <c r="BD166" i="5"/>
  <c r="BD172" i="5" s="1"/>
  <c r="BD178" i="5" s="1"/>
  <c r="L164" i="5"/>
  <c r="AQ166" i="5"/>
  <c r="BC166" i="5"/>
  <c r="BC172" i="5" s="1"/>
  <c r="BC178" i="5" s="1"/>
  <c r="L168" i="5"/>
  <c r="K168" i="5"/>
  <c r="K166" i="5"/>
  <c r="AD166" i="5"/>
  <c r="AK166" i="5"/>
  <c r="AP166" i="5"/>
  <c r="AW166" i="5"/>
  <c r="BB166" i="5"/>
  <c r="BB172" i="5" s="1"/>
  <c r="Y166" i="5"/>
  <c r="AC166" i="5"/>
  <c r="AG166" i="5"/>
  <c r="AL166" i="5"/>
  <c r="AS166" i="5"/>
  <c r="AX166" i="5"/>
  <c r="AX172" i="5" s="1"/>
  <c r="AX178" i="5" s="1"/>
  <c r="AW172" i="5"/>
  <c r="AW178" i="5" s="1"/>
  <c r="L167" i="5"/>
  <c r="K5" i="5"/>
  <c r="F7" i="5"/>
  <c r="K7" i="5" s="1"/>
  <c r="K9" i="5"/>
  <c r="L7" i="5"/>
  <c r="D7" i="5" s="1"/>
  <c r="E7" i="5" s="1"/>
  <c r="L5" i="5"/>
  <c r="D5" i="5" s="1"/>
  <c r="E5" i="5" s="1"/>
  <c r="AF172" i="5" l="1"/>
  <c r="AF178" i="5" s="1"/>
  <c r="AA172" i="5"/>
  <c r="AB172" i="5"/>
  <c r="AB178" i="5" s="1"/>
  <c r="K175" i="5"/>
  <c r="L123" i="5"/>
  <c r="D170" i="5"/>
  <c r="E170" i="5" s="1"/>
  <c r="X172" i="5"/>
  <c r="X178" i="5" s="1"/>
  <c r="AU172" i="5"/>
  <c r="AU178" i="5" s="1"/>
  <c r="BB178" i="5"/>
  <c r="BB179" i="5" s="1"/>
  <c r="BB173" i="5"/>
  <c r="AA178" i="5"/>
  <c r="AY178" i="5"/>
  <c r="AY179" i="5" s="1"/>
  <c r="AY173" i="5"/>
  <c r="AV178" i="5"/>
  <c r="AV179" i="5" s="1"/>
  <c r="AV173" i="5"/>
  <c r="AI172" i="5"/>
  <c r="AI178" i="5" s="1"/>
  <c r="AN172" i="5"/>
  <c r="AN178" i="5" s="1"/>
  <c r="AH172" i="5"/>
  <c r="AH178" i="5" s="1"/>
  <c r="AO172" i="5"/>
  <c r="AO178" i="5" s="1"/>
  <c r="Y172" i="5"/>
  <c r="Y178" i="5" s="1"/>
  <c r="AL172" i="5"/>
  <c r="AL178" i="5" s="1"/>
  <c r="AE172" i="5"/>
  <c r="AE178" i="5" s="1"/>
  <c r="AC172" i="5"/>
  <c r="AC178" i="5" s="1"/>
  <c r="AR172" i="5"/>
  <c r="AR178" i="5" s="1"/>
  <c r="W172" i="5"/>
  <c r="W178" i="5" s="1"/>
  <c r="AS172" i="5"/>
  <c r="AM172" i="5"/>
  <c r="AG172" i="5"/>
  <c r="AQ172" i="5"/>
  <c r="AQ178" i="5" s="1"/>
  <c r="Z172" i="5"/>
  <c r="Z178" i="5" s="1"/>
  <c r="AP172" i="5"/>
  <c r="AD172" i="5"/>
  <c r="L161" i="5"/>
  <c r="D161" i="5" s="1"/>
  <c r="E161" i="5" s="1"/>
  <c r="AK172" i="5"/>
  <c r="AK178" i="5" s="1"/>
  <c r="L166" i="5"/>
  <c r="D166" i="5" s="1"/>
  <c r="E166" i="5" s="1"/>
  <c r="K67" i="5"/>
  <c r="AD178" i="5" l="1"/>
  <c r="AD179" i="5" s="1"/>
  <c r="AD173" i="5"/>
  <c r="AG178" i="5"/>
  <c r="AG179" i="5" s="1"/>
  <c r="AG173" i="5"/>
  <c r="AS178" i="5"/>
  <c r="AS179" i="5" s="1"/>
  <c r="AS173" i="5"/>
  <c r="X179" i="5"/>
  <c r="AA179" i="5"/>
  <c r="AP178" i="5"/>
  <c r="AP179" i="5" s="1"/>
  <c r="AP173" i="5"/>
  <c r="AM178" i="5"/>
  <c r="AM179" i="5" s="1"/>
  <c r="AM173" i="5"/>
  <c r="X173" i="5"/>
  <c r="AA173" i="5"/>
  <c r="G79" i="5"/>
  <c r="G73" i="5" l="1"/>
  <c r="G84" i="5"/>
  <c r="K50" i="5" l="1"/>
  <c r="L50" i="5"/>
  <c r="L55" i="5"/>
  <c r="K66" i="5"/>
  <c r="K65" i="5"/>
  <c r="K70" i="5"/>
  <c r="K71" i="5"/>
  <c r="K35" i="5"/>
  <c r="K36" i="5"/>
  <c r="K39" i="5"/>
  <c r="K54" i="5"/>
  <c r="K55" i="5"/>
  <c r="K56" i="5"/>
  <c r="K38" i="5"/>
  <c r="L122" i="5"/>
  <c r="L124" i="5"/>
  <c r="L53" i="5"/>
  <c r="L51" i="5"/>
  <c r="L52" i="5"/>
  <c r="L26" i="5"/>
  <c r="L35" i="5"/>
  <c r="L37" i="5"/>
  <c r="L38" i="5"/>
  <c r="L39" i="5"/>
  <c r="L40" i="5"/>
  <c r="L41" i="5"/>
  <c r="L43" i="5"/>
  <c r="L44" i="5"/>
  <c r="L45" i="5"/>
  <c r="L47" i="5"/>
  <c r="L48" i="5"/>
  <c r="L54" i="5"/>
  <c r="L56" i="5"/>
  <c r="L58" i="5"/>
  <c r="L59" i="5"/>
  <c r="L60" i="5"/>
  <c r="L61" i="5"/>
  <c r="L62" i="5"/>
  <c r="L63" i="5"/>
  <c r="L64" i="5"/>
  <c r="L66" i="5"/>
  <c r="L65" i="5"/>
  <c r="L68" i="5"/>
  <c r="L69" i="5"/>
  <c r="L70" i="5"/>
  <c r="L71" i="5"/>
  <c r="L88" i="5"/>
  <c r="L106" i="5" s="1"/>
  <c r="L74" i="5"/>
  <c r="L75" i="5"/>
  <c r="L76" i="5"/>
  <c r="L79" i="5"/>
  <c r="L83" i="5"/>
  <c r="L115" i="5"/>
  <c r="L95" i="5"/>
  <c r="L96" i="5"/>
  <c r="L97" i="5"/>
  <c r="L67" i="5"/>
  <c r="L119" i="5"/>
  <c r="L72" i="5"/>
  <c r="L101" i="5"/>
  <c r="L102" i="5"/>
  <c r="L105" i="5"/>
  <c r="K97" i="5"/>
  <c r="Q73" i="5"/>
  <c r="L109" i="5"/>
  <c r="V84" i="5"/>
  <c r="V57" i="5" s="1"/>
  <c r="V172" i="5" s="1"/>
  <c r="V178" i="5" s="1"/>
  <c r="U84" i="5"/>
  <c r="U57" i="5" s="1"/>
  <c r="U172" i="5" s="1"/>
  <c r="T84" i="5"/>
  <c r="S84" i="5"/>
  <c r="S57" i="5" s="1"/>
  <c r="S172" i="5" s="1"/>
  <c r="S178" i="5" s="1"/>
  <c r="R84" i="5"/>
  <c r="Q84" i="5"/>
  <c r="P84" i="5"/>
  <c r="K84" i="5"/>
  <c r="O84" i="5"/>
  <c r="O57" i="5" s="1"/>
  <c r="N84" i="5"/>
  <c r="H88" i="5"/>
  <c r="U178" i="5" l="1"/>
  <c r="U179" i="5" s="1"/>
  <c r="U173" i="5"/>
  <c r="N57" i="5"/>
  <c r="T57" i="5"/>
  <c r="T172" i="5" s="1"/>
  <c r="T178" i="5" s="1"/>
  <c r="P57" i="5"/>
  <c r="P172" i="5" s="1"/>
  <c r="P178" i="5" s="1"/>
  <c r="R57" i="5"/>
  <c r="R172" i="5" s="1"/>
  <c r="Q57" i="5"/>
  <c r="Q172" i="5" s="1"/>
  <c r="Q178" i="5" s="1"/>
  <c r="M57" i="5"/>
  <c r="L73" i="5"/>
  <c r="L84" i="5"/>
  <c r="L107" i="5"/>
  <c r="G115" i="5"/>
  <c r="K115" i="5" s="1"/>
  <c r="K26" i="5"/>
  <c r="R178" i="5" l="1"/>
  <c r="R179" i="5" s="1"/>
  <c r="R173" i="5"/>
  <c r="AJ57" i="5"/>
  <c r="AJ172" i="5" s="1"/>
  <c r="M172" i="5"/>
  <c r="M178" i="5" s="1"/>
  <c r="O36" i="5"/>
  <c r="O13" i="5" s="1"/>
  <c r="O172" i="5" s="1"/>
  <c r="K102" i="5"/>
  <c r="K105" i="5"/>
  <c r="K74" i="5"/>
  <c r="K75" i="5"/>
  <c r="K76" i="5"/>
  <c r="K79" i="5"/>
  <c r="K83" i="5"/>
  <c r="K101" i="5"/>
  <c r="O178" i="5" l="1"/>
  <c r="O179" i="5" s="1"/>
  <c r="O173" i="5"/>
  <c r="AJ178" i="5"/>
  <c r="AJ179" i="5" s="1"/>
  <c r="AJ173" i="5"/>
  <c r="L57" i="5"/>
  <c r="L36" i="5"/>
  <c r="N13" i="5"/>
  <c r="K88" i="5"/>
  <c r="G106" i="5"/>
  <c r="F106" i="5"/>
  <c r="H96" i="5"/>
  <c r="K96" i="5"/>
  <c r="G40" i="5"/>
  <c r="K40" i="5" s="1"/>
  <c r="G48" i="5"/>
  <c r="K48" i="5" s="1"/>
  <c r="K64" i="5"/>
  <c r="K95" i="5"/>
  <c r="K109" i="5"/>
  <c r="K47" i="5"/>
  <c r="G45" i="5"/>
  <c r="K45" i="5" s="1"/>
  <c r="G44" i="5"/>
  <c r="F44" i="5"/>
  <c r="F13" i="5" s="1"/>
  <c r="G63" i="5"/>
  <c r="K63" i="5" s="1"/>
  <c r="K43" i="5"/>
  <c r="K61" i="5"/>
  <c r="G60" i="5"/>
  <c r="F60" i="5"/>
  <c r="G41" i="5"/>
  <c r="K41" i="5" s="1"/>
  <c r="K37" i="5"/>
  <c r="K59" i="5" l="1"/>
  <c r="G57" i="5"/>
  <c r="D57" i="5" s="1"/>
  <c r="E57" i="5" s="1"/>
  <c r="L13" i="5"/>
  <c r="N172" i="5"/>
  <c r="N178" i="5" s="1"/>
  <c r="K17" i="5"/>
  <c r="G13" i="5"/>
  <c r="K44" i="5"/>
  <c r="K60" i="5"/>
  <c r="K106" i="5"/>
  <c r="D13" i="5" l="1"/>
  <c r="D172" i="5" s="1"/>
  <c r="L172" i="5"/>
  <c r="L178" i="5" s="1"/>
  <c r="K13" i="5"/>
  <c r="G172" i="5"/>
  <c r="G178" i="5" s="1"/>
  <c r="F107" i="5"/>
  <c r="F57" i="5" s="1"/>
  <c r="E13" i="5" l="1"/>
  <c r="E172" i="5"/>
  <c r="D178" i="5"/>
  <c r="E178" i="5" s="1"/>
  <c r="K57" i="5"/>
  <c r="K172" i="5" s="1"/>
  <c r="K178" i="5" s="1"/>
  <c r="F172" i="5"/>
  <c r="F178" i="5" s="1"/>
  <c r="K107" i="5"/>
  <c r="H101" i="5"/>
  <c r="K73" i="5" l="1"/>
</calcChain>
</file>

<file path=xl/comments1.xml><?xml version="1.0" encoding="utf-8"?>
<comments xmlns="http://schemas.openxmlformats.org/spreadsheetml/2006/main">
  <authors>
    <author>Автор</author>
  </authors>
  <commentList>
    <comment ref="C5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Бюджет</t>
        </r>
      </text>
    </comment>
    <comment ref="D5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Факт + план</t>
        </r>
      </text>
    </comment>
    <comment ref="C7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Бюджет</t>
        </r>
      </text>
    </comment>
    <comment ref="D7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Факт + план</t>
        </r>
      </text>
    </comment>
    <comment ref="C13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Бюджет</t>
        </r>
      </text>
    </comment>
    <comment ref="D13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Факт + план - бартер</t>
        </r>
      </text>
    </comment>
    <comment ref="G25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Оплата через кассу</t>
        </r>
      </text>
    </comment>
    <comment ref="F51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Аванс 30% = 734 957,70 руб.
30% (734 957,70 руб.) по факту разработки РД
40% (979 943,60 руб.) по факту согласования</t>
        </r>
      </text>
    </comment>
    <comment ref="C57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Бюджет</t>
        </r>
      </text>
    </comment>
    <comment ref="D57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Факт + план - бартер</t>
        </r>
      </text>
    </comment>
    <comment ref="C58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Бюджет</t>
        </r>
      </text>
    </comment>
    <comment ref="G59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Аванс оплачен 100% к 18.05.2011.</t>
        </r>
      </text>
    </comment>
    <comment ref="G60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30% по дог. №3 от 23.03.11 на 853 914,62</t>
        </r>
      </text>
    </comment>
    <comment ref="D65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Срок 30 календарных дней</t>
        </r>
      </text>
    </comment>
    <comment ref="F65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Аванс 50% = 81 232,98 руб.</t>
        </r>
      </text>
    </comment>
    <comment ref="C72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Бюджет</t>
        </r>
      </text>
    </comment>
    <comment ref="C73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СтройАльянс</t>
        </r>
      </text>
    </comment>
    <comment ref="F73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Сделать расторжение. Было 272 180 485 руб.</t>
        </r>
      </text>
    </comment>
    <comment ref="C88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СтройАльянс</t>
        </r>
      </text>
    </comment>
    <comment ref="F88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Сделать снижение. Было 366 335 928 руб.</t>
        </r>
      </text>
    </comment>
    <comment ref="G88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БАРТЕР.
К оплате: 0
Площадями: 26 418 736 руб.</t>
        </r>
      </text>
    </comment>
    <comment ref="H95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4 068 770 руб. к возврату</t>
        </r>
      </text>
    </comment>
    <comment ref="C100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Бюджет</t>
        </r>
      </text>
    </comment>
    <comment ref="G107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БАРТЕР.
К оплате: 1 953 149 417 руб. / 2 = 976 574 708,50 руб.
Площадями: 1 953 419 417 руб. /2 + 182 000 000 руб. = 1 158 574 708,50 руб.</t>
        </r>
      </text>
    </comment>
    <comment ref="C109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Строительные системы</t>
        </r>
      </text>
    </comment>
    <comment ref="H117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Акт не требуется</t>
        </r>
      </text>
    </comment>
    <comment ref="H118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Акт не требуется
</t>
        </r>
      </text>
    </comment>
    <comment ref="C125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Бюджет</t>
        </r>
      </text>
    </comment>
    <comment ref="C130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Бюджет</t>
        </r>
      </text>
    </comment>
    <comment ref="C139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Бюджет</t>
        </r>
      </text>
    </comment>
    <comment ref="C143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Бюджет</t>
        </r>
      </text>
    </comment>
    <comment ref="C147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Бюджет</t>
        </r>
      </text>
    </comment>
    <comment ref="C155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Бюджет</t>
        </r>
      </text>
    </comment>
    <comment ref="C158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Бюджет</t>
        </r>
      </text>
    </comment>
    <comment ref="C161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Бюджет</t>
        </r>
      </text>
    </comment>
    <comment ref="D161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Факт + план</t>
        </r>
      </text>
    </comment>
    <comment ref="C166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Бюджет</t>
        </r>
      </text>
    </comment>
    <comment ref="D166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Факт + план</t>
        </r>
      </text>
    </comment>
    <comment ref="C170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Бюджет</t>
        </r>
      </text>
    </comment>
    <comment ref="D170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Факт + план</t>
        </r>
      </text>
    </comment>
    <comment ref="C172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Бюджет</t>
        </r>
      </text>
    </comment>
    <comment ref="D172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Факт + план - бартер</t>
        </r>
      </text>
    </comment>
    <comment ref="C178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Бюджет</t>
        </r>
      </text>
    </comment>
    <comment ref="D178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Факт + план - бартер</t>
        </r>
      </text>
    </comment>
    <comment ref="E178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Остаток для планирования</t>
        </r>
      </text>
    </comment>
  </commentList>
</comments>
</file>

<file path=xl/sharedStrings.xml><?xml version="1.0" encoding="utf-8"?>
<sst xmlns="http://schemas.openxmlformats.org/spreadsheetml/2006/main" count="492" uniqueCount="353">
  <si>
    <t>№</t>
  </si>
  <si>
    <t>Стена в грунте</t>
  </si>
  <si>
    <t>Сумма</t>
  </si>
  <si>
    <t>Акты</t>
  </si>
  <si>
    <t>Шпунт вдоль дороги</t>
  </si>
  <si>
    <t>Снос здания</t>
  </si>
  <si>
    <t>ООО "ПСФ Гидротехстрой"</t>
  </si>
  <si>
    <t>ООО "Ландшафт-Стройпроект"</t>
  </si>
  <si>
    <t>ЗАО "Индес"</t>
  </si>
  <si>
    <t>ООО "СтройАльянс"</t>
  </si>
  <si>
    <t>Дата</t>
  </si>
  <si>
    <t>31.05.2011.</t>
  </si>
  <si>
    <t>30.06.2011.</t>
  </si>
  <si>
    <t>ООО "СГС-Строй"</t>
  </si>
  <si>
    <t>ППГР</t>
  </si>
  <si>
    <t>ЗАО "ГОРПРОЕКТ"</t>
  </si>
  <si>
    <t>Разработка РД</t>
  </si>
  <si>
    <t>Номер договора</t>
  </si>
  <si>
    <t>Геодезическое сопровождение</t>
  </si>
  <si>
    <t>ООО "Олимпроект-Гео"</t>
  </si>
  <si>
    <t>Геотехнич мониторинг оснований и фундаментов строящ к-са</t>
  </si>
  <si>
    <t>Наблюд за гориз смещ огражд констр к-на</t>
  </si>
  <si>
    <t>Геотехнич мониторинг окруж застройки</t>
  </si>
  <si>
    <t>Авторский надзор за стеной в грунте и распорной системой</t>
  </si>
  <si>
    <t>ООО "СМУ "ОФИССТРОЙ"</t>
  </si>
  <si>
    <t>Генподряд</t>
  </si>
  <si>
    <t>2.1.</t>
  </si>
  <si>
    <t>2.2.</t>
  </si>
  <si>
    <t>135-ПР</t>
  </si>
  <si>
    <t>Одесская, 2</t>
  </si>
  <si>
    <t>Статья</t>
  </si>
  <si>
    <t>ВСЕГО</t>
  </si>
  <si>
    <t>Контрагент</t>
  </si>
  <si>
    <t>Предмет договора, назначение платежа</t>
  </si>
  <si>
    <t>Сумма договора, платежа</t>
  </si>
  <si>
    <t>Факт оплаты</t>
  </si>
  <si>
    <t>Остаток по договору</t>
  </si>
  <si>
    <t>План</t>
  </si>
  <si>
    <t>04.05.2011.</t>
  </si>
  <si>
    <t>06.10.2010.</t>
  </si>
  <si>
    <t>16.06.2011.</t>
  </si>
  <si>
    <t>сч.9/8744-11</t>
  </si>
  <si>
    <t>01.10.2010.</t>
  </si>
  <si>
    <t>04.04.2011.</t>
  </si>
  <si>
    <t>23.03.2011.</t>
  </si>
  <si>
    <t>20.11 с/с</t>
  </si>
  <si>
    <t>02.12.2010.</t>
  </si>
  <si>
    <t>37/10-ОПГ</t>
  </si>
  <si>
    <t>38/10-ОПГ</t>
  </si>
  <si>
    <t>39/10-ОПГ</t>
  </si>
  <si>
    <t>01.05.2011.</t>
  </si>
  <si>
    <t>09/11-ОПГ</t>
  </si>
  <si>
    <t>01.04.2011.</t>
  </si>
  <si>
    <t>ООО "ФЛЭТ и Ко"</t>
  </si>
  <si>
    <t>ГП-ОД-2/2011</t>
  </si>
  <si>
    <t>01.07.2011.</t>
  </si>
  <si>
    <t>Компенсационная посадка деревьев (вырубка с участка)</t>
  </si>
  <si>
    <t>На рассмотрении в СДО</t>
  </si>
  <si>
    <t>Компенсационная посадка деревьев (вырубка по трассе канализации)</t>
  </si>
  <si>
    <t>ООО "ДорПроцесс"</t>
  </si>
  <si>
    <t>Корректировка ПОД на период строительства</t>
  </si>
  <si>
    <t>40/10-ОПГ</t>
  </si>
  <si>
    <t>1518/12-60-10/СП</t>
  </si>
  <si>
    <t>Тех.заключение для обеспечения сохран.окружающей застройки</t>
  </si>
  <si>
    <t>Вынос эл.сетей из пятна застройки</t>
  </si>
  <si>
    <t>Устройство механизации стр.площадки</t>
  </si>
  <si>
    <t>ООО "Сервис Тепло"</t>
  </si>
  <si>
    <t>6</t>
  </si>
  <si>
    <t>10о/110124-11</t>
  </si>
  <si>
    <t>Вынос осей в натуру</t>
  </si>
  <si>
    <t>МД4/153</t>
  </si>
  <si>
    <t>Разработка проекта пунктов мойки колес здания</t>
  </si>
  <si>
    <t>ООО"ПКТИгрупп"</t>
  </si>
  <si>
    <t>3-11</t>
  </si>
  <si>
    <t>Разработка стройгенплана, корректировка ПОС</t>
  </si>
  <si>
    <t>ПР-11-03</t>
  </si>
  <si>
    <t>Экспертиза по проектным решением подземной части</t>
  </si>
  <si>
    <t>22-3/2011</t>
  </si>
  <si>
    <t>Вынос канализации</t>
  </si>
  <si>
    <t>ОТ-108/5-5-11</t>
  </si>
  <si>
    <t>1-03-11 К</t>
  </si>
  <si>
    <t>ЗАО "Институт "Геостройпроект"</t>
  </si>
  <si>
    <t>081-ЛЕ-11</t>
  </si>
  <si>
    <t>РД строительного водопонижения</t>
  </si>
  <si>
    <t>Ремонт дороги Зюзино</t>
  </si>
  <si>
    <t>Подготовительные работы, обустройство стройплощадки</t>
  </si>
  <si>
    <t>Снос, котлован,"стена в грунте", фортшахта, распорная система</t>
  </si>
  <si>
    <t>ДС3 к №ГП-Од-2</t>
  </si>
  <si>
    <t>01.01.2010.</t>
  </si>
  <si>
    <t>15.02.2011.</t>
  </si>
  <si>
    <t>21.04.2011.</t>
  </si>
  <si>
    <t>21.03.2011.</t>
  </si>
  <si>
    <t>23.05.2011.</t>
  </si>
  <si>
    <t>30.11.2010.</t>
  </si>
  <si>
    <t>28.01.2011.</t>
  </si>
  <si>
    <t>23.12.2010.</t>
  </si>
  <si>
    <t>17.03.2011.</t>
  </si>
  <si>
    <t>08.02.2011.</t>
  </si>
  <si>
    <t>Дендроплан по трассам наружных сетей</t>
  </si>
  <si>
    <t>Счета за согласование РД наружных сетей</t>
  </si>
  <si>
    <t>Прочие</t>
  </si>
  <si>
    <t>Дополнительные разделы РД</t>
  </si>
  <si>
    <t>Согласования, разрешения, штрафы</t>
  </si>
  <si>
    <t>Технадзор на вынос канализации</t>
  </si>
  <si>
    <t>Мосводоканал</t>
  </si>
  <si>
    <t>Временные дороги , забор, мойки</t>
  </si>
  <si>
    <t>Разработка котлована</t>
  </si>
  <si>
    <t>ООО "ВИВА ТРАНС"</t>
  </si>
  <si>
    <t>ООО "МАСТЕР"</t>
  </si>
  <si>
    <t>Водопонижение</t>
  </si>
  <si>
    <t>ОАО "НИЦ Строительство"</t>
  </si>
  <si>
    <t>ЗАО "Концерн "Мойдодыр"</t>
  </si>
  <si>
    <t>ГУП "Мосгоргеотрест"</t>
  </si>
  <si>
    <t>ООО "Промстройинвест"</t>
  </si>
  <si>
    <t>ООО "АВАНГАРД-К"</t>
  </si>
  <si>
    <t>ДС1 к №3</t>
  </si>
  <si>
    <t>Доп работы по устройству ограждения</t>
  </si>
  <si>
    <t>ООО "Стройкомплекс"</t>
  </si>
  <si>
    <t>ООО"ОРЕСКО Трейд"</t>
  </si>
  <si>
    <t>Поставка бетона и арматуры</t>
  </si>
  <si>
    <t>08/11-ОПГ</t>
  </si>
  <si>
    <t>12.05.2011.</t>
  </si>
  <si>
    <t>Разработка проектной документации на ограждение котлована</t>
  </si>
  <si>
    <t>ДС1 к №08/11-ОПГ</t>
  </si>
  <si>
    <t>26.05.2011.</t>
  </si>
  <si>
    <t>ООО "САМ-САН-Строй"</t>
  </si>
  <si>
    <t>Разработка проектной документации на распорную систему</t>
  </si>
  <si>
    <t>МГТС</t>
  </si>
  <si>
    <t>Восстановление телефонных кабелей</t>
  </si>
  <si>
    <t>23.11 с/с</t>
  </si>
  <si>
    <t>14.06.2011.</t>
  </si>
  <si>
    <t>Проект по ИТП (пролонгация ТУ на тепло)</t>
  </si>
  <si>
    <t>2-06-11 К</t>
  </si>
  <si>
    <t>09.06.2011.</t>
  </si>
  <si>
    <t>Корчевка пней на трассе канализации</t>
  </si>
  <si>
    <t>Корчевка пней в пятне застройки</t>
  </si>
  <si>
    <t>ООО "Макспроект"</t>
  </si>
  <si>
    <t>0606-11</t>
  </si>
  <si>
    <t>14.07.2011.</t>
  </si>
  <si>
    <t>РД и согласование наружных сетей (водопровод, канализация, водосток, теплосеть, радио)</t>
  </si>
  <si>
    <t>План платежей</t>
  </si>
  <si>
    <t>ОД-2/П-02/07/11</t>
  </si>
  <si>
    <t>02.07.2011.</t>
  </si>
  <si>
    <t>31.01.2011.</t>
  </si>
  <si>
    <t>28.02.2011.</t>
  </si>
  <si>
    <t>30.05.2011.</t>
  </si>
  <si>
    <t>ОД-2/П-09/07/11</t>
  </si>
  <si>
    <t>09.07.2011.</t>
  </si>
  <si>
    <t>ОД-2/П-11/07/11</t>
  </si>
  <si>
    <t>11.07.2011.</t>
  </si>
  <si>
    <t>ОД-2/П-20/07/11</t>
  </si>
  <si>
    <t>20.07.2011.</t>
  </si>
  <si>
    <t>Бартер 40%</t>
  </si>
  <si>
    <t>ОД/С-20/07/2011</t>
  </si>
  <si>
    <t>ОД/С-01/07/11</t>
  </si>
  <si>
    <t>151</t>
  </si>
  <si>
    <t>28.06.2011.</t>
  </si>
  <si>
    <t>Бартер 50% + услуги генподряда</t>
  </si>
  <si>
    <t>3.1.</t>
  </si>
  <si>
    <t>31.07.2011.</t>
  </si>
  <si>
    <t>30/06</t>
  </si>
  <si>
    <t>ФБУЗ "Центр гигиены и эпидемиологии в г. Москве"</t>
  </si>
  <si>
    <t>180-07/11</t>
  </si>
  <si>
    <t>08.08.2011.</t>
  </si>
  <si>
    <t>Замер уровня шума в ночное время</t>
  </si>
  <si>
    <t>460р/06п</t>
  </si>
  <si>
    <t>10.08.2011.</t>
  </si>
  <si>
    <t>Санитарно-химическое, радиологическое, бактериологическое и паразитологическое обследование грунта</t>
  </si>
  <si>
    <t>ООО "ТЕКТОПЛАН"</t>
  </si>
  <si>
    <t>268</t>
  </si>
  <si>
    <t>09.05.2011.</t>
  </si>
  <si>
    <t>Организация подготовки и переподготовки кадров</t>
  </si>
  <si>
    <t>ЗАО "Раменский региональный экологический центр"</t>
  </si>
  <si>
    <t>91/2011</t>
  </si>
  <si>
    <t>Газохимическая оценка грунтов</t>
  </si>
  <si>
    <t>12.08.2011.</t>
  </si>
  <si>
    <t>Штраф за строительный контроль</t>
  </si>
  <si>
    <t>Постан 972-Ю</t>
  </si>
  <si>
    <t>Постан 973</t>
  </si>
  <si>
    <t>техн заключ на раб док на ИТП М1:500 на строит(стройгенплан подземн и надземн части)</t>
  </si>
  <si>
    <t>Корректировка проектной документации на ограждение котлована</t>
  </si>
  <si>
    <t>Тендер</t>
  </si>
  <si>
    <t>РД на РТП, ТП</t>
  </si>
  <si>
    <t>2.3. Стадия РД</t>
  </si>
  <si>
    <t>Департамент земельных ресурсов</t>
  </si>
  <si>
    <t>Аренда земли</t>
  </si>
  <si>
    <t>Техникум</t>
  </si>
  <si>
    <t>Договоренность</t>
  </si>
  <si>
    <t>Аренда земли под бытовой городок и разворотную площадку</t>
  </si>
  <si>
    <t>Аренда земли под пешеходную галерею</t>
  </si>
  <si>
    <t>Не требуются</t>
  </si>
  <si>
    <t>Демонтаж пешеходной галереи</t>
  </si>
  <si>
    <t>1. Приобретение объекта</t>
  </si>
  <si>
    <t>2. Земельно-правовые вопросы (Доля города)</t>
  </si>
  <si>
    <t>3. Проектирование</t>
  </si>
  <si>
    <t>3.1. Предпроект (вкл. Изыскания и ГПЗУ)</t>
  </si>
  <si>
    <t>3.2. Стадия П (вкл. согласования, МГЭ и разрешение на строительство)</t>
  </si>
  <si>
    <t>Водолей сервис</t>
  </si>
  <si>
    <t>Покупка недвижимости</t>
  </si>
  <si>
    <t>4. Строительно-монтажные работы</t>
  </si>
  <si>
    <t>4.1. Подготовительные работы</t>
  </si>
  <si>
    <t>4.3. Возведение конструктива</t>
  </si>
  <si>
    <t>4.2. Стена в грунте, котлован, водопонижение</t>
  </si>
  <si>
    <t>4.4. Закрытие внешнего контура</t>
  </si>
  <si>
    <t>4.5. Внутренние инженерные системы</t>
  </si>
  <si>
    <t>4.6. Механические системы</t>
  </si>
  <si>
    <t>4.7. Внутренняя отделка помещений</t>
  </si>
  <si>
    <t>4.8. Наружные инженерные сети и объекты</t>
  </si>
  <si>
    <t>4.9. Благоустройство территории</t>
  </si>
  <si>
    <t>4.10. Сдача объекта</t>
  </si>
  <si>
    <t>5. Управление проектом</t>
  </si>
  <si>
    <t>6. Коммерческие расходы</t>
  </si>
  <si>
    <t>7. Налоги</t>
  </si>
  <si>
    <t>Риэлторские услуги</t>
  </si>
  <si>
    <t>Реклама и маркетинг</t>
  </si>
  <si>
    <t>Девелопмент</t>
  </si>
  <si>
    <t>Расходы на управление проектом</t>
  </si>
  <si>
    <t>Авторский надзор</t>
  </si>
  <si>
    <t>30-03/11-АСТ</t>
  </si>
  <si>
    <t>30.03.2011.</t>
  </si>
  <si>
    <t>Аренда строительной техники</t>
  </si>
  <si>
    <t>3/6569-11</t>
  </si>
  <si>
    <t>Геоподоснова для наружных сетей</t>
  </si>
  <si>
    <t>Бартер 100%</t>
  </si>
  <si>
    <t>ДС №М-06-030214/3</t>
  </si>
  <si>
    <t>14.03.2011.</t>
  </si>
  <si>
    <t>Водоснабжение</t>
  </si>
  <si>
    <t>Теплоснабжение</t>
  </si>
  <si>
    <t>Водосток</t>
  </si>
  <si>
    <t>Электроснабжение (технологическое присоединение)</t>
  </si>
  <si>
    <t>Электроснабжение (СМР)</t>
  </si>
  <si>
    <t>Стены, перегородки, двери, ворота</t>
  </si>
  <si>
    <t>Фасады</t>
  </si>
  <si>
    <t>Кровля и гидроизоляция</t>
  </si>
  <si>
    <t>Водоснабжение и канализование</t>
  </si>
  <si>
    <t>Отопление и тепловые сети</t>
  </si>
  <si>
    <t>Вентиляция и кондиционирование</t>
  </si>
  <si>
    <t>Электроснабжение и освещение</t>
  </si>
  <si>
    <t>Слаботочные системы</t>
  </si>
  <si>
    <t>Противопожарные системы</t>
  </si>
  <si>
    <t>Лифты</t>
  </si>
  <si>
    <t>Мойка, шлагбаумы</t>
  </si>
  <si>
    <t>Внутренняя отделка помещений</t>
  </si>
  <si>
    <t>Благоустройство территории</t>
  </si>
  <si>
    <t>Сдача объекта</t>
  </si>
  <si>
    <t xml:space="preserve">Согласования  </t>
  </si>
  <si>
    <t>сч.8/66-11</t>
  </si>
  <si>
    <t>ООО "Марка"</t>
  </si>
  <si>
    <t>1012-CG/1</t>
  </si>
  <si>
    <t>11.11.2010.</t>
  </si>
  <si>
    <t>ОАО "ПКТИпромстрой"</t>
  </si>
  <si>
    <t>сч.132/25</t>
  </si>
  <si>
    <t>18.05.2011.</t>
  </si>
  <si>
    <t>ООО "Скарлет"</t>
  </si>
  <si>
    <t>сч.05/17998413</t>
  </si>
  <si>
    <t>сч.55673</t>
  </si>
  <si>
    <t>30.04.2011.</t>
  </si>
  <si>
    <t>б/н</t>
  </si>
  <si>
    <t>26.07.2011.</t>
  </si>
  <si>
    <t>01.08.2011.</t>
  </si>
  <si>
    <t>УФК по г. Москве (Мосгосстройнадзор)</t>
  </si>
  <si>
    <t>3.2.</t>
  </si>
  <si>
    <t>1-10//О, ДС1</t>
  </si>
  <si>
    <t>ГП-Од-2, ДС1, ДС2</t>
  </si>
  <si>
    <t>Бартер</t>
  </si>
  <si>
    <t>ИТОГО с учетом прихода от бартера</t>
  </si>
  <si>
    <t>Бартер 50%</t>
  </si>
  <si>
    <t>Удорожание материалов</t>
  </si>
  <si>
    <t>Наименование работ</t>
  </si>
  <si>
    <t>Возведение конструктива</t>
  </si>
  <si>
    <t>Закрытие внешнего контура</t>
  </si>
  <si>
    <t>Механические системы</t>
  </si>
  <si>
    <t>Внутренняя отделка</t>
  </si>
  <si>
    <t xml:space="preserve">     Лифты</t>
  </si>
  <si>
    <t xml:space="preserve">     Сваи</t>
  </si>
  <si>
    <t xml:space="preserve">     Фундамент</t>
  </si>
  <si>
    <t xml:space="preserve">     Фасад</t>
  </si>
  <si>
    <t xml:space="preserve">     Кровля</t>
  </si>
  <si>
    <t xml:space="preserve">     Окна, двери</t>
  </si>
  <si>
    <t xml:space="preserve">     Электроснабжение</t>
  </si>
  <si>
    <t xml:space="preserve">     Водоснабжение и канализование</t>
  </si>
  <si>
    <t xml:space="preserve">     Слаботочные системы</t>
  </si>
  <si>
    <t xml:space="preserve">     Теплоснабжение</t>
  </si>
  <si>
    <t xml:space="preserve">     БТИ</t>
  </si>
  <si>
    <t xml:space="preserve">     ЗОС</t>
  </si>
  <si>
    <t xml:space="preserve">     Устранение замечаний</t>
  </si>
  <si>
    <t xml:space="preserve">     Разрешение на ввод в эксплуатацию</t>
  </si>
  <si>
    <t xml:space="preserve">     Водоснабжение и водоотведение</t>
  </si>
  <si>
    <t xml:space="preserve">     Отопление и тепловые сети</t>
  </si>
  <si>
    <t xml:space="preserve">     Вентиляция (общеобменная и противодымная)</t>
  </si>
  <si>
    <t xml:space="preserve">     Холодоснабжение и кондиционирование</t>
  </si>
  <si>
    <t xml:space="preserve">     Электроснабжение и освещение</t>
  </si>
  <si>
    <t xml:space="preserve">     Стандартная (МОП, технические помещения)</t>
  </si>
  <si>
    <t xml:space="preserve">     По дизайн-проекту (Входная группа)</t>
  </si>
  <si>
    <t xml:space="preserve">     Кладка стен и перегородок</t>
  </si>
  <si>
    <t>Внутренние инженерные системы</t>
  </si>
  <si>
    <t>Земельно-правовые вопросы</t>
  </si>
  <si>
    <t>Регламент Москомархитектуры по стадии ПП</t>
  </si>
  <si>
    <t>Разработка концепции застройки</t>
  </si>
  <si>
    <t>Разработка стадии Проект (основные разделы)</t>
  </si>
  <si>
    <t>Разработка стадии Проект (специальные разделы)</t>
  </si>
  <si>
    <t>Подготовка исходных данных для проектирования (геоподоснова, экология, СТУ, обследование окружающей застройки и др.)</t>
  </si>
  <si>
    <t>Согласование стадии Проект</t>
  </si>
  <si>
    <t>Регламент Москомархитектуры по стадии П</t>
  </si>
  <si>
    <t>МГЭ</t>
  </si>
  <si>
    <t>Основной объект</t>
  </si>
  <si>
    <t>Наружные инженерные сети</t>
  </si>
  <si>
    <t>Дизайн-проект интерьеров</t>
  </si>
  <si>
    <t>Снос строений</t>
  </si>
  <si>
    <t>Мобилизация стройплощадки</t>
  </si>
  <si>
    <t>1-я очередь строительства 180 тыс. м2</t>
  </si>
  <si>
    <t xml:space="preserve">     Водоотведение (водосток)</t>
  </si>
  <si>
    <t xml:space="preserve">     Прочее</t>
  </si>
  <si>
    <t>Дороги и тротуары</t>
  </si>
  <si>
    <t>Озеленение и малые архитектурные формы</t>
  </si>
  <si>
    <t xml:space="preserve">     Итоговая проверка МГСН</t>
  </si>
  <si>
    <t>Вынос инженерных сетей</t>
  </si>
  <si>
    <t xml:space="preserve">     Монолит надземная часть (3 этажа в месяц)</t>
  </si>
  <si>
    <t xml:space="preserve">     Монолит подземная часть (1 этаж за 2 месяца)</t>
  </si>
  <si>
    <t>январь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</si>
  <si>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</si>
  <si>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</si>
  <si>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</si>
  <si>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</si>
  <si>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</si>
  <si>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</si>
  <si>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</si>
  <si>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</si>
  <si>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</si>
  <si>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февраль</t>
  </si>
  <si>
    <t>март</t>
  </si>
  <si>
    <t>График реализации проекта Береговой проезд, 5 (1-я очередь 180 тыс. м2)</t>
  </si>
  <si>
    <t>Стадия ПП (Предпроект)</t>
  </si>
  <si>
    <t>Стадия П (Проект)</t>
  </si>
  <si>
    <t>Разрешение на строительство</t>
  </si>
  <si>
    <t>Подготовительные работы</t>
  </si>
  <si>
    <t>Устройство котлована</t>
  </si>
  <si>
    <t>Строительство корпусов</t>
  </si>
  <si>
    <t>Наружные инженерные сети и объекты</t>
  </si>
  <si>
    <t>Оформление свидетельства собственности</t>
  </si>
  <si>
    <t>Ограждение котлована (стена в грунте)</t>
  </si>
  <si>
    <t>Распоряжение ДЗР об адресе</t>
  </si>
  <si>
    <t>Кадастровый учет 3-х участков</t>
  </si>
  <si>
    <t>ГЗК по вопросу межевания участка на 3</t>
  </si>
  <si>
    <t>Свидетельство собственности на 3 участка под эксплуатацию</t>
  </si>
  <si>
    <t>Свидетельство собственности на участок под эксплуатацию</t>
  </si>
  <si>
    <t>ГПЗУ на 3 участка</t>
  </si>
  <si>
    <t>Распоряжение ДЗР об изменении разрешенного использования (2 участка в соответствии с ГПЗУ)</t>
  </si>
  <si>
    <t>Кадастроый учет 2-х участков</t>
  </si>
  <si>
    <t>Оплата за снятие запрета на строительство 2-х участков</t>
  </si>
  <si>
    <t>Распоряжение ДЗР о снятии запрета на строительство 2-х участков</t>
  </si>
  <si>
    <t>Свидетельство собственности на 2 участка по новым ГПЗУ с запретом на строительство</t>
  </si>
  <si>
    <t>Свидетельство собственности на 2 участкабез запрета на строительство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</si>
</sst>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5" formatCode="#,##0&quot;р.&quot;;\-#,##0&quot;р.&quot;"/>
    <numFmt numFmtId="43" formatCode="_-* #,##0.00_р_._-;\-* #,##0.00_р_._-;_-* &quot;-&quot;??_р_._-;_-@_-"/>
    <numFmt numFmtId="164" formatCode="#,##0&quot;р.&quot;"/>
    <numFmt numFmtId="165" formatCode="#,##0_р_."/>
    <numFmt numFmtId="166" formatCode="dd/mm/yy;@"/>
  </numFmts>
  <fonts count="28" x14ac:knownFonts="1">
    <font>
      <sz val="11"/>
      <color theme="1"/>
      <name val="Calibri"/>
      <family val="2"/>
      <scheme val="minor"/>
    </font>
    <font>
      <sz val="8"/>
      <color indexed="81"/>
      <name val="Tahoma"/>
      <family val="2"/>
      <charset val="204"/>
    </font>
    <font>
      <b/>
      <sz val="8"/>
      <color indexed="81"/>
      <name val="Tahoma"/>
      <family val="2"/>
      <charset val="204"/>
    </font>
    <font>
      <b/>
      <sz val="11"/>
      <color theme="1"/>
      <name val="Arial"/>
      <family val="2"/>
      <charset val="204"/>
    </font>
    <font>
      <sz val="11"/>
      <color theme="1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rgb="FFFF0000"/>
      <name val="Arial"/>
      <family val="2"/>
      <charset val="204"/>
    </font>
    <font>
      <sz val="11"/>
      <color rgb="FFFF000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name val="Arial"/>
      <family val="2"/>
      <charset val="204"/>
    </font>
    <font>
      <sz val="11"/>
      <color indexed="8"/>
      <name val="Arial"/>
      <family val="2"/>
      <charset val="204"/>
    </font>
    <font>
      <sz val="8"/>
      <color theme="1"/>
      <name val="Arial"/>
      <family val="2"/>
      <charset val="204"/>
    </font>
    <font>
      <sz val="8"/>
      <name val="Arial"/>
      <family val="2"/>
      <charset val="204"/>
    </font>
    <font>
      <sz val="8"/>
      <color indexed="8"/>
      <name val="Arial"/>
      <family val="2"/>
      <charset val="204"/>
    </font>
    <font>
      <sz val="11"/>
      <color rgb="FF7030A0"/>
      <name val="Arial"/>
      <family val="2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11"/>
      <color theme="0"/>
      <name val="Arial"/>
      <family val="2"/>
      <charset val="204"/>
    </font>
    <font>
      <b/>
      <sz val="20"/>
      <color rgb="FFFF0000"/>
      <name val="Arial"/>
      <family val="2"/>
      <charset val="204"/>
    </font>
    <font>
      <b/>
      <sz val="16"/>
      <color theme="1"/>
      <name val="Arial"/>
      <family val="2"/>
      <charset val="204"/>
    </font>
    <font>
      <sz val="12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sz val="12"/>
      <color theme="1"/>
      <name val="Arial"/>
      <family val="2"/>
      <charset val="204"/>
    </font>
    <font>
      <b/>
      <sz val="12"/>
      <color theme="1"/>
      <name val="Arial"/>
      <family val="2"/>
      <charset val="204"/>
    </font>
    <font>
      <b/>
      <sz val="16"/>
      <color rgb="FFFF0000"/>
      <name val="Arial"/>
      <family val="2"/>
      <charset val="204"/>
    </font>
    <font>
      <sz val="12"/>
      <name val="Arial"/>
      <family val="2"/>
      <charset val="204"/>
    </font>
    <font>
      <b/>
      <sz val="12"/>
      <name val="Arial"/>
      <family val="2"/>
      <charset val="204"/>
    </font>
    <font>
      <b/>
      <sz val="28"/>
      <color rgb="FFFF0000"/>
      <name val="Arial"/>
      <family val="2"/>
      <charset val="204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8" fillId="0" borderId="0" applyFont="0" applyFill="0" applyBorder="0" applyAlignment="0" applyProtection="0"/>
  </cellStyleXfs>
  <cellXfs count="408">
    <xf numFmtId="0" fontId="0" fillId="0" borderId="0" xfId="0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164" fontId="4" fillId="0" borderId="0" xfId="0" applyNumberFormat="1" applyFont="1" applyAlignment="1">
      <alignment vertical="center"/>
    </xf>
    <xf numFmtId="164" fontId="4" fillId="0" borderId="0" xfId="0" applyNumberFormat="1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Border="1" applyAlignment="1">
      <alignment vertical="center"/>
    </xf>
    <xf numFmtId="164" fontId="4" fillId="0" borderId="1" xfId="0" applyNumberFormat="1" applyFont="1" applyBorder="1" applyAlignment="1">
      <alignment vertical="center"/>
    </xf>
    <xf numFmtId="0" fontId="3" fillId="0" borderId="6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164" fontId="3" fillId="0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vertical="center"/>
    </xf>
    <xf numFmtId="164" fontId="3" fillId="3" borderId="1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164" fontId="4" fillId="0" borderId="1" xfId="0" applyNumberFormat="1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164" fontId="3" fillId="2" borderId="1" xfId="0" applyNumberFormat="1" applyFont="1" applyFill="1" applyBorder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64" fontId="5" fillId="0" borderId="1" xfId="0" applyNumberFormat="1" applyFont="1" applyFill="1" applyBorder="1" applyAlignment="1">
      <alignment horizontal="center" vertical="center"/>
    </xf>
    <xf numFmtId="164" fontId="5" fillId="0" borderId="6" xfId="0" applyNumberFormat="1" applyFont="1" applyFill="1" applyBorder="1" applyAlignment="1">
      <alignment horizontal="center" vertical="center"/>
    </xf>
    <xf numFmtId="164" fontId="3" fillId="0" borderId="1" xfId="0" applyNumberFormat="1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3" fillId="0" borderId="5" xfId="0" applyFont="1" applyFill="1" applyBorder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164" fontId="7" fillId="0" borderId="1" xfId="0" applyNumberFormat="1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6" fillId="0" borderId="13" xfId="0" applyFont="1" applyFill="1" applyBorder="1" applyAlignment="1">
      <alignment vertical="center"/>
    </xf>
    <xf numFmtId="0" fontId="6" fillId="0" borderId="6" xfId="0" applyFont="1" applyFill="1" applyBorder="1" applyAlignment="1">
      <alignment vertical="center"/>
    </xf>
    <xf numFmtId="0" fontId="7" fillId="0" borderId="4" xfId="0" applyFont="1" applyFill="1" applyBorder="1" applyAlignment="1">
      <alignment vertical="center"/>
    </xf>
    <xf numFmtId="164" fontId="3" fillId="0" borderId="6" xfId="0" applyNumberFormat="1" applyFont="1" applyFill="1" applyBorder="1" applyAlignment="1">
      <alignment horizontal="left" vertical="center"/>
    </xf>
    <xf numFmtId="165" fontId="9" fillId="0" borderId="1" xfId="0" applyNumberFormat="1" applyFont="1" applyFill="1" applyBorder="1" applyAlignment="1">
      <alignment horizontal="left" vertical="center"/>
    </xf>
    <xf numFmtId="166" fontId="9" fillId="0" borderId="1" xfId="0" applyNumberFormat="1" applyFont="1" applyFill="1" applyBorder="1" applyAlignment="1">
      <alignment horizontal="center" vertical="center" wrapText="1"/>
    </xf>
    <xf numFmtId="165" fontId="9" fillId="0" borderId="1" xfId="0" applyNumberFormat="1" applyFont="1" applyFill="1" applyBorder="1" applyAlignment="1">
      <alignment horizontal="left" vertical="center" wrapText="1"/>
    </xf>
    <xf numFmtId="166" fontId="9" fillId="0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left" vertical="center" wrapText="1"/>
    </xf>
    <xf numFmtId="164" fontId="9" fillId="0" borderId="1" xfId="0" applyNumberFormat="1" applyFont="1" applyFill="1" applyBorder="1" applyAlignment="1">
      <alignment horizontal="right" vertical="center" wrapText="1"/>
    </xf>
    <xf numFmtId="164" fontId="4" fillId="0" borderId="1" xfId="0" applyNumberFormat="1" applyFont="1" applyFill="1" applyBorder="1" applyAlignment="1">
      <alignment horizontal="right" vertical="center"/>
    </xf>
    <xf numFmtId="0" fontId="4" fillId="0" borderId="5" xfId="0" applyFont="1" applyFill="1" applyBorder="1" applyAlignment="1">
      <alignment vertical="center"/>
    </xf>
    <xf numFmtId="49" fontId="9" fillId="0" borderId="1" xfId="0" applyNumberFormat="1" applyFont="1" applyFill="1" applyBorder="1" applyAlignment="1">
      <alignment vertical="center" wrapText="1"/>
    </xf>
    <xf numFmtId="49" fontId="9" fillId="0" borderId="1" xfId="0" applyNumberFormat="1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165" fontId="9" fillId="0" borderId="1" xfId="0" applyNumberFormat="1" applyFont="1" applyFill="1" applyBorder="1" applyAlignment="1">
      <alignment vertical="center" wrapText="1"/>
    </xf>
    <xf numFmtId="164" fontId="4" fillId="0" borderId="1" xfId="0" applyNumberFormat="1" applyFont="1" applyFill="1" applyBorder="1" applyAlignment="1">
      <alignment horizontal="right" vertical="center" wrapText="1"/>
    </xf>
    <xf numFmtId="166" fontId="9" fillId="0" borderId="1" xfId="0" applyNumberFormat="1" applyFont="1" applyFill="1" applyBorder="1" applyAlignment="1">
      <alignment horizontal="left" vertical="center"/>
    </xf>
    <xf numFmtId="0" fontId="5" fillId="0" borderId="13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vertical="center"/>
    </xf>
    <xf numFmtId="164" fontId="9" fillId="0" borderId="6" xfId="0" applyNumberFormat="1" applyFont="1" applyFill="1" applyBorder="1" applyAlignment="1">
      <alignment horizontal="right" vertical="center" wrapText="1"/>
    </xf>
    <xf numFmtId="166" fontId="9" fillId="0" borderId="1" xfId="0" applyNumberFormat="1" applyFont="1" applyFill="1" applyBorder="1" applyAlignment="1">
      <alignment vertical="center"/>
    </xf>
    <xf numFmtId="49" fontId="9" fillId="0" borderId="1" xfId="0" applyNumberFormat="1" applyFont="1" applyFill="1" applyBorder="1" applyAlignment="1">
      <alignment vertical="center"/>
    </xf>
    <xf numFmtId="49" fontId="9" fillId="0" borderId="4" xfId="0" applyNumberFormat="1" applyFont="1" applyFill="1" applyBorder="1" applyAlignment="1">
      <alignment vertical="center"/>
    </xf>
    <xf numFmtId="165" fontId="9" fillId="0" borderId="4" xfId="0" applyNumberFormat="1" applyFont="1" applyFill="1" applyBorder="1" applyAlignment="1">
      <alignment vertical="center"/>
    </xf>
    <xf numFmtId="49" fontId="9" fillId="0" borderId="4" xfId="0" applyNumberFormat="1" applyFont="1" applyFill="1" applyBorder="1" applyAlignment="1">
      <alignment horizontal="left" vertical="center"/>
    </xf>
    <xf numFmtId="0" fontId="4" fillId="0" borderId="13" xfId="0" applyFont="1" applyFill="1" applyBorder="1" applyAlignment="1">
      <alignment horizontal="center" vertical="center"/>
    </xf>
    <xf numFmtId="164" fontId="4" fillId="0" borderId="0" xfId="0" applyNumberFormat="1" applyFont="1" applyAlignment="1">
      <alignment horizontal="right" vertical="center"/>
    </xf>
    <xf numFmtId="164" fontId="3" fillId="2" borderId="1" xfId="0" applyNumberFormat="1" applyFont="1" applyFill="1" applyBorder="1" applyAlignment="1">
      <alignment horizontal="right" vertical="center"/>
    </xf>
    <xf numFmtId="164" fontId="7" fillId="0" borderId="1" xfId="0" applyNumberFormat="1" applyFont="1" applyFill="1" applyBorder="1" applyAlignment="1">
      <alignment horizontal="right" vertical="center"/>
    </xf>
    <xf numFmtId="0" fontId="11" fillId="0" borderId="13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vertical="center"/>
    </xf>
    <xf numFmtId="0" fontId="11" fillId="0" borderId="1" xfId="0" applyFont="1" applyFill="1" applyBorder="1" applyAlignment="1">
      <alignment horizontal="center" vertical="center"/>
    </xf>
    <xf numFmtId="164" fontId="11" fillId="0" borderId="1" xfId="0" applyNumberFormat="1" applyFont="1" applyFill="1" applyBorder="1" applyAlignment="1">
      <alignment vertical="center"/>
    </xf>
    <xf numFmtId="164" fontId="11" fillId="0" borderId="1" xfId="0" applyNumberFormat="1" applyFont="1" applyFill="1" applyBorder="1" applyAlignment="1">
      <alignment horizontal="right" vertical="center"/>
    </xf>
    <xf numFmtId="0" fontId="11" fillId="0" borderId="0" xfId="0" applyFont="1" applyFill="1" applyAlignment="1">
      <alignment vertical="center"/>
    </xf>
    <xf numFmtId="0" fontId="11" fillId="0" borderId="13" xfId="0" applyFont="1" applyFill="1" applyBorder="1" applyAlignment="1">
      <alignment vertical="center"/>
    </xf>
    <xf numFmtId="3" fontId="11" fillId="0" borderId="1" xfId="0" applyNumberFormat="1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vertical="center"/>
    </xf>
    <xf numFmtId="166" fontId="12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left" vertical="center"/>
    </xf>
    <xf numFmtId="164" fontId="12" fillId="0" borderId="6" xfId="0" applyNumberFormat="1" applyFont="1" applyFill="1" applyBorder="1" applyAlignment="1">
      <alignment horizontal="right" vertical="center" wrapText="1"/>
    </xf>
    <xf numFmtId="164" fontId="13" fillId="0" borderId="9" xfId="1" applyNumberFormat="1" applyFont="1" applyFill="1" applyBorder="1" applyAlignment="1">
      <alignment horizontal="right" vertical="center"/>
    </xf>
    <xf numFmtId="165" fontId="9" fillId="0" borderId="4" xfId="0" applyNumberFormat="1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vertical="center"/>
    </xf>
    <xf numFmtId="166" fontId="14" fillId="0" borderId="1" xfId="0" applyNumberFormat="1" applyFont="1" applyFill="1" applyBorder="1" applyAlignment="1">
      <alignment horizontal="center" vertical="center" wrapText="1"/>
    </xf>
    <xf numFmtId="165" fontId="14" fillId="0" borderId="1" xfId="0" applyNumberFormat="1" applyFont="1" applyFill="1" applyBorder="1" applyAlignment="1">
      <alignment horizontal="left" vertical="center"/>
    </xf>
    <xf numFmtId="164" fontId="14" fillId="0" borderId="1" xfId="0" applyNumberFormat="1" applyFont="1" applyFill="1" applyBorder="1" applyAlignment="1">
      <alignment horizontal="right" vertical="center" wrapText="1"/>
    </xf>
    <xf numFmtId="164" fontId="14" fillId="0" borderId="1" xfId="0" applyNumberFormat="1" applyFont="1" applyFill="1" applyBorder="1" applyAlignment="1">
      <alignment vertical="center"/>
    </xf>
    <xf numFmtId="164" fontId="14" fillId="0" borderId="1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14" fillId="0" borderId="1" xfId="0" applyFont="1" applyFill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5" fillId="0" borderId="13" xfId="0" applyFont="1" applyFill="1" applyBorder="1" applyAlignment="1">
      <alignment vertical="center"/>
    </xf>
    <xf numFmtId="0" fontId="9" fillId="0" borderId="4" xfId="0" applyFont="1" applyFill="1" applyBorder="1" applyAlignment="1">
      <alignment vertical="center"/>
    </xf>
    <xf numFmtId="0" fontId="9" fillId="0" borderId="1" xfId="0" applyFont="1" applyFill="1" applyBorder="1" applyAlignment="1">
      <alignment horizontal="center" vertical="center"/>
    </xf>
    <xf numFmtId="164" fontId="9" fillId="0" borderId="1" xfId="0" applyNumberFormat="1" applyFont="1" applyFill="1" applyBorder="1" applyAlignment="1">
      <alignment vertical="center"/>
    </xf>
    <xf numFmtId="164" fontId="9" fillId="0" borderId="1" xfId="0" applyNumberFormat="1" applyFont="1" applyFill="1" applyBorder="1" applyAlignment="1">
      <alignment horizontal="right" vertical="center"/>
    </xf>
    <xf numFmtId="0" fontId="9" fillId="0" borderId="0" xfId="0" applyFont="1" applyFill="1" applyAlignment="1">
      <alignment vertical="center"/>
    </xf>
    <xf numFmtId="0" fontId="9" fillId="0" borderId="10" xfId="0" applyFont="1" applyFill="1" applyBorder="1" applyAlignment="1">
      <alignment horizontal="left" vertical="center" wrapText="1"/>
    </xf>
    <xf numFmtId="0" fontId="9" fillId="0" borderId="10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horizontal="left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3" xfId="0" applyNumberFormat="1" applyFont="1" applyBorder="1" applyAlignment="1">
      <alignment horizontal="center" vertical="center"/>
    </xf>
    <xf numFmtId="164" fontId="4" fillId="0" borderId="4" xfId="0" applyNumberFormat="1" applyFont="1" applyBorder="1" applyAlignment="1">
      <alignment horizontal="center" vertical="center"/>
    </xf>
    <xf numFmtId="164" fontId="4" fillId="0" borderId="1" xfId="0" applyNumberFormat="1" applyFont="1" applyFill="1" applyBorder="1" applyAlignment="1">
      <alignment horizontal="right" vertical="center"/>
    </xf>
    <xf numFmtId="164" fontId="7" fillId="0" borderId="2" xfId="0" applyNumberFormat="1" applyFont="1" applyBorder="1" applyAlignment="1">
      <alignment horizontal="center" vertical="center"/>
    </xf>
    <xf numFmtId="164" fontId="7" fillId="0" borderId="3" xfId="0" applyNumberFormat="1" applyFont="1" applyBorder="1" applyAlignment="1">
      <alignment horizontal="center" vertical="center"/>
    </xf>
    <xf numFmtId="164" fontId="7" fillId="0" borderId="4" xfId="0" applyNumberFormat="1" applyFont="1" applyBorder="1" applyAlignment="1">
      <alignment horizontal="center" vertical="center"/>
    </xf>
    <xf numFmtId="0" fontId="4" fillId="0" borderId="13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horizontal="left" vertical="center"/>
    </xf>
    <xf numFmtId="164" fontId="4" fillId="0" borderId="1" xfId="0" applyNumberFormat="1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horizontal="left" vertical="center"/>
    </xf>
    <xf numFmtId="164" fontId="3" fillId="0" borderId="1" xfId="0" applyNumberFormat="1" applyFont="1" applyFill="1" applyBorder="1" applyAlignment="1">
      <alignment horizontal="right" vertical="center"/>
    </xf>
    <xf numFmtId="0" fontId="3" fillId="2" borderId="6" xfId="0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left" vertical="center"/>
    </xf>
    <xf numFmtId="0" fontId="7" fillId="0" borderId="4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165" fontId="9" fillId="0" borderId="4" xfId="0" applyNumberFormat="1" applyFont="1" applyFill="1" applyBorder="1" applyAlignment="1">
      <alignment horizontal="left" vertical="center"/>
    </xf>
    <xf numFmtId="0" fontId="4" fillId="0" borderId="4" xfId="0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left" vertical="center"/>
    </xf>
    <xf numFmtId="0" fontId="3" fillId="2" borderId="5" xfId="0" applyFont="1" applyFill="1" applyBorder="1" applyAlignment="1">
      <alignment vertical="center"/>
    </xf>
    <xf numFmtId="0" fontId="3" fillId="2" borderId="13" xfId="0" applyFont="1" applyFill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164" fontId="7" fillId="0" borderId="1" xfId="0" applyNumberFormat="1" applyFont="1" applyBorder="1" applyAlignment="1">
      <alignment vertical="center"/>
    </xf>
    <xf numFmtId="0" fontId="7" fillId="0" borderId="0" xfId="0" applyFont="1" applyAlignment="1">
      <alignment vertical="center"/>
    </xf>
    <xf numFmtId="164" fontId="3" fillId="0" borderId="1" xfId="0" applyNumberFormat="1" applyFont="1" applyFill="1" applyBorder="1" applyAlignment="1">
      <alignment horizontal="right" vertical="center" wrapText="1"/>
    </xf>
    <xf numFmtId="164" fontId="7" fillId="0" borderId="1" xfId="0" applyNumberFormat="1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left" vertical="center"/>
    </xf>
    <xf numFmtId="164" fontId="7" fillId="0" borderId="2" xfId="0" applyNumberFormat="1" applyFont="1" applyBorder="1" applyAlignment="1">
      <alignment horizontal="center" vertical="center"/>
    </xf>
    <xf numFmtId="164" fontId="7" fillId="0" borderId="3" xfId="0" applyNumberFormat="1" applyFont="1" applyBorder="1" applyAlignment="1">
      <alignment horizontal="center" vertical="center"/>
    </xf>
    <xf numFmtId="164" fontId="7" fillId="0" borderId="4" xfId="0" applyNumberFormat="1" applyFont="1" applyBorder="1" applyAlignment="1">
      <alignment horizontal="center" vertical="center"/>
    </xf>
    <xf numFmtId="164" fontId="4" fillId="0" borderId="1" xfId="0" applyNumberFormat="1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center" vertical="center"/>
    </xf>
    <xf numFmtId="166" fontId="14" fillId="0" borderId="1" xfId="0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left" vertical="center"/>
    </xf>
    <xf numFmtId="164" fontId="14" fillId="0" borderId="6" xfId="0" applyNumberFormat="1" applyFont="1" applyFill="1" applyBorder="1" applyAlignment="1">
      <alignment horizontal="right" vertical="center" wrapText="1"/>
    </xf>
    <xf numFmtId="0" fontId="7" fillId="0" borderId="13" xfId="0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7" fillId="0" borderId="6" xfId="0" applyNumberFormat="1" applyFont="1" applyFill="1" applyBorder="1" applyAlignment="1">
      <alignment vertical="center"/>
    </xf>
    <xf numFmtId="164" fontId="7" fillId="4" borderId="1" xfId="0" applyNumberFormat="1" applyFont="1" applyFill="1" applyBorder="1" applyAlignment="1">
      <alignment vertical="center"/>
    </xf>
    <xf numFmtId="164" fontId="11" fillId="0" borderId="3" xfId="0" applyNumberFormat="1" applyFont="1" applyFill="1" applyBorder="1" applyAlignment="1">
      <alignment horizontal="right" vertical="center"/>
    </xf>
    <xf numFmtId="164" fontId="11" fillId="0" borderId="4" xfId="0" applyNumberFormat="1" applyFont="1" applyFill="1" applyBorder="1" applyAlignment="1">
      <alignment horizontal="right" vertical="center"/>
    </xf>
    <xf numFmtId="3" fontId="11" fillId="0" borderId="2" xfId="0" applyNumberFormat="1" applyFont="1" applyFill="1" applyBorder="1" applyAlignment="1">
      <alignment horizontal="center" vertical="center"/>
    </xf>
    <xf numFmtId="164" fontId="4" fillId="0" borderId="1" xfId="0" applyNumberFormat="1" applyFont="1" applyFill="1" applyBorder="1" applyAlignment="1">
      <alignment horizontal="right" vertical="center"/>
    </xf>
    <xf numFmtId="164" fontId="4" fillId="0" borderId="1" xfId="0" applyNumberFormat="1" applyFont="1" applyFill="1" applyBorder="1" applyAlignment="1">
      <alignment horizontal="right" vertical="center"/>
    </xf>
    <xf numFmtId="164" fontId="4" fillId="2" borderId="1" xfId="0" applyNumberFormat="1" applyFont="1" applyFill="1" applyBorder="1" applyAlignment="1">
      <alignment horizontal="right" vertical="center" wrapText="1"/>
    </xf>
    <xf numFmtId="164" fontId="4" fillId="2" borderId="1" xfId="0" applyNumberFormat="1" applyFont="1" applyFill="1" applyBorder="1" applyAlignment="1">
      <alignment vertical="center"/>
    </xf>
    <xf numFmtId="164" fontId="11" fillId="0" borderId="1" xfId="0" applyNumberFormat="1" applyFont="1" applyFill="1" applyBorder="1" applyAlignment="1">
      <alignment horizontal="right" vertical="center" wrapText="1"/>
    </xf>
    <xf numFmtId="164" fontId="11" fillId="0" borderId="3" xfId="0" applyNumberFormat="1" applyFont="1" applyFill="1" applyBorder="1" applyAlignment="1">
      <alignment horizontal="center" vertical="center"/>
    </xf>
    <xf numFmtId="164" fontId="4" fillId="2" borderId="1" xfId="1" applyNumberFormat="1" applyFont="1" applyFill="1" applyBorder="1" applyAlignment="1">
      <alignment vertical="center" wrapText="1"/>
    </xf>
    <xf numFmtId="164" fontId="4" fillId="2" borderId="1" xfId="1" applyNumberFormat="1" applyFont="1" applyFill="1" applyBorder="1" applyAlignment="1">
      <alignment horizontal="right" vertical="center"/>
    </xf>
    <xf numFmtId="164" fontId="10" fillId="2" borderId="1" xfId="0" applyNumberFormat="1" applyFont="1" applyFill="1" applyBorder="1" applyAlignment="1">
      <alignment horizontal="right" vertical="center" wrapText="1"/>
    </xf>
    <xf numFmtId="164" fontId="9" fillId="2" borderId="1" xfId="0" applyNumberFormat="1" applyFont="1" applyFill="1" applyBorder="1" applyAlignment="1">
      <alignment horizontal="right" vertical="center" wrapText="1"/>
    </xf>
    <xf numFmtId="164" fontId="13" fillId="0" borderId="1" xfId="0" applyNumberFormat="1" applyFont="1" applyFill="1" applyBorder="1" applyAlignment="1">
      <alignment horizontal="right" vertical="center" wrapText="1"/>
    </xf>
    <xf numFmtId="3" fontId="12" fillId="0" borderId="2" xfId="0" applyNumberFormat="1" applyFont="1" applyFill="1" applyBorder="1" applyAlignment="1">
      <alignment horizontal="center" vertical="center"/>
    </xf>
    <xf numFmtId="164" fontId="12" fillId="0" borderId="3" xfId="0" applyNumberFormat="1" applyFont="1" applyFill="1" applyBorder="1" applyAlignment="1">
      <alignment horizontal="center" vertical="center"/>
    </xf>
    <xf numFmtId="164" fontId="12" fillId="0" borderId="4" xfId="0" applyNumberFormat="1" applyFont="1" applyFill="1" applyBorder="1" applyAlignment="1">
      <alignment horizontal="right" vertical="center"/>
    </xf>
    <xf numFmtId="164" fontId="9" fillId="2" borderId="1" xfId="0" applyNumberFormat="1" applyFont="1" applyFill="1" applyBorder="1" applyAlignment="1">
      <alignment vertical="center"/>
    </xf>
    <xf numFmtId="3" fontId="11" fillId="2" borderId="1" xfId="0" applyNumberFormat="1" applyFont="1" applyFill="1" applyBorder="1" applyAlignment="1">
      <alignment horizontal="center" vertical="center"/>
    </xf>
    <xf numFmtId="164" fontId="11" fillId="2" borderId="1" xfId="0" applyNumberFormat="1" applyFont="1" applyFill="1" applyBorder="1" applyAlignment="1">
      <alignment horizontal="center" vertical="center"/>
    </xf>
    <xf numFmtId="164" fontId="11" fillId="2" borderId="1" xfId="0" applyNumberFormat="1" applyFont="1" applyFill="1" applyBorder="1" applyAlignment="1">
      <alignment vertical="center"/>
    </xf>
    <xf numFmtId="164" fontId="10" fillId="2" borderId="6" xfId="1" applyNumberFormat="1" applyFont="1" applyFill="1" applyBorder="1" applyAlignment="1">
      <alignment horizontal="right" vertical="center"/>
    </xf>
    <xf numFmtId="164" fontId="14" fillId="2" borderId="9" xfId="1" applyNumberFormat="1" applyFont="1" applyFill="1" applyBorder="1" applyAlignment="1">
      <alignment horizontal="right" vertical="center"/>
    </xf>
    <xf numFmtId="164" fontId="14" fillId="2" borderId="1" xfId="0" applyNumberFormat="1" applyFont="1" applyFill="1" applyBorder="1" applyAlignment="1">
      <alignment horizontal="right" vertical="center" wrapText="1"/>
    </xf>
    <xf numFmtId="164" fontId="14" fillId="2" borderId="1" xfId="0" applyNumberFormat="1" applyFont="1" applyFill="1" applyBorder="1" applyAlignment="1">
      <alignment vertical="center"/>
    </xf>
    <xf numFmtId="164" fontId="4" fillId="2" borderId="1" xfId="0" applyNumberFormat="1" applyFont="1" applyFill="1" applyBorder="1" applyAlignment="1">
      <alignment horizontal="right" vertical="center"/>
    </xf>
    <xf numFmtId="0" fontId="17" fillId="5" borderId="13" xfId="0" applyFont="1" applyFill="1" applyBorder="1" applyAlignment="1">
      <alignment vertical="center"/>
    </xf>
    <xf numFmtId="164" fontId="14" fillId="0" borderId="0" xfId="0" applyNumberFormat="1" applyFont="1" applyAlignment="1">
      <alignment horizontal="right" vertical="center"/>
    </xf>
    <xf numFmtId="164" fontId="17" fillId="5" borderId="1" xfId="0" applyNumberFormat="1" applyFont="1" applyFill="1" applyBorder="1" applyAlignment="1">
      <alignment horizontal="left" vertical="center"/>
    </xf>
    <xf numFmtId="164" fontId="14" fillId="0" borderId="1" xfId="0" applyNumberFormat="1" applyFont="1" applyBorder="1" applyAlignment="1">
      <alignment horizontal="right" vertical="center"/>
    </xf>
    <xf numFmtId="164" fontId="14" fillId="0" borderId="1" xfId="0" applyNumberFormat="1" applyFont="1" applyBorder="1" applyAlignment="1">
      <alignment horizontal="right" vertical="center" wrapText="1"/>
    </xf>
    <xf numFmtId="164" fontId="9" fillId="2" borderId="1" xfId="0" applyNumberFormat="1" applyFont="1" applyFill="1" applyBorder="1" applyAlignment="1">
      <alignment horizontal="right" vertical="center"/>
    </xf>
    <xf numFmtId="164" fontId="4" fillId="3" borderId="1" xfId="0" applyNumberFormat="1" applyFont="1" applyFill="1" applyBorder="1" applyAlignment="1">
      <alignment horizontal="right" vertical="center"/>
    </xf>
    <xf numFmtId="164" fontId="14" fillId="0" borderId="2" xfId="0" applyNumberFormat="1" applyFont="1" applyFill="1" applyBorder="1" applyAlignment="1">
      <alignment horizontal="center" vertical="center"/>
    </xf>
    <xf numFmtId="164" fontId="14" fillId="0" borderId="3" xfId="0" applyNumberFormat="1" applyFont="1" applyFill="1" applyBorder="1" applyAlignment="1">
      <alignment horizontal="center" vertical="center"/>
    </xf>
    <xf numFmtId="164" fontId="14" fillId="0" borderId="4" xfId="0" applyNumberFormat="1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vertical="center"/>
    </xf>
    <xf numFmtId="164" fontId="7" fillId="0" borderId="2" xfId="0" applyNumberFormat="1" applyFont="1" applyFill="1" applyBorder="1" applyAlignment="1">
      <alignment horizontal="right" vertical="center"/>
    </xf>
    <xf numFmtId="164" fontId="7" fillId="0" borderId="3" xfId="0" applyNumberFormat="1" applyFont="1" applyFill="1" applyBorder="1" applyAlignment="1">
      <alignment horizontal="right" vertical="center"/>
    </xf>
    <xf numFmtId="164" fontId="7" fillId="0" borderId="4" xfId="0" applyNumberFormat="1" applyFont="1" applyFill="1" applyBorder="1" applyAlignment="1">
      <alignment horizontal="right" vertical="center"/>
    </xf>
    <xf numFmtId="164" fontId="4" fillId="2" borderId="1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vertical="center"/>
    </xf>
    <xf numFmtId="164" fontId="4" fillId="2" borderId="1" xfId="0" applyNumberFormat="1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left" vertical="center" wrapText="1"/>
    </xf>
    <xf numFmtId="0" fontId="14" fillId="0" borderId="0" xfId="0" applyFont="1" applyAlignment="1">
      <alignment horizontal="center" vertical="center" wrapText="1"/>
    </xf>
    <xf numFmtId="164" fontId="14" fillId="0" borderId="0" xfId="0" applyNumberFormat="1" applyFont="1" applyAlignment="1">
      <alignment vertical="center"/>
    </xf>
    <xf numFmtId="164" fontId="1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1" fillId="0" borderId="0" xfId="0" applyFont="1" applyAlignment="1">
      <alignment vertical="center"/>
    </xf>
    <xf numFmtId="0" fontId="4" fillId="2" borderId="18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4" fillId="0" borderId="19" xfId="0" applyFont="1" applyFill="1" applyBorder="1" applyAlignment="1">
      <alignment vertical="center"/>
    </xf>
    <xf numFmtId="0" fontId="7" fillId="0" borderId="19" xfId="0" applyFont="1" applyFill="1" applyBorder="1" applyAlignment="1">
      <alignment vertical="center"/>
    </xf>
    <xf numFmtId="0" fontId="11" fillId="0" borderId="19" xfId="0" applyFont="1" applyFill="1" applyBorder="1" applyAlignment="1">
      <alignment vertical="center"/>
    </xf>
    <xf numFmtId="0" fontId="4" fillId="7" borderId="1" xfId="0" applyFont="1" applyFill="1" applyBorder="1" applyAlignment="1">
      <alignment vertical="center"/>
    </xf>
    <xf numFmtId="0" fontId="4" fillId="8" borderId="1" xfId="0" applyFont="1" applyFill="1" applyBorder="1" applyAlignment="1">
      <alignment vertical="center"/>
    </xf>
    <xf numFmtId="0" fontId="4" fillId="0" borderId="22" xfId="0" applyFont="1" applyFill="1" applyBorder="1" applyAlignment="1">
      <alignment vertical="center"/>
    </xf>
    <xf numFmtId="0" fontId="4" fillId="9" borderId="1" xfId="0" applyFont="1" applyFill="1" applyBorder="1" applyAlignment="1">
      <alignment vertical="center"/>
    </xf>
    <xf numFmtId="0" fontId="4" fillId="0" borderId="6" xfId="0" applyFont="1" applyFill="1" applyBorder="1" applyAlignment="1">
      <alignment vertical="center"/>
    </xf>
    <xf numFmtId="0" fontId="4" fillId="0" borderId="18" xfId="0" applyFont="1" applyFill="1" applyBorder="1" applyAlignment="1">
      <alignment horizontal="right" vertical="center"/>
    </xf>
    <xf numFmtId="0" fontId="4" fillId="0" borderId="18" xfId="0" applyFont="1" applyBorder="1" applyAlignment="1">
      <alignment horizontal="right" vertical="center"/>
    </xf>
    <xf numFmtId="14" fontId="4" fillId="0" borderId="18" xfId="0" applyNumberFormat="1" applyFont="1" applyBorder="1" applyAlignment="1">
      <alignment horizontal="right" vertical="center"/>
    </xf>
    <xf numFmtId="0" fontId="4" fillId="0" borderId="20" xfId="0" applyFont="1" applyFill="1" applyBorder="1" applyAlignment="1">
      <alignment vertical="center"/>
    </xf>
    <xf numFmtId="0" fontId="4" fillId="0" borderId="18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4" fillId="7" borderId="18" xfId="0" applyFont="1" applyFill="1" applyBorder="1" applyAlignment="1">
      <alignment vertical="center"/>
    </xf>
    <xf numFmtId="0" fontId="4" fillId="9" borderId="18" xfId="0" applyFont="1" applyFill="1" applyBorder="1" applyAlignment="1">
      <alignment vertical="center"/>
    </xf>
    <xf numFmtId="0" fontId="11" fillId="0" borderId="18" xfId="0" applyFont="1" applyFill="1" applyBorder="1" applyAlignment="1">
      <alignment vertical="center"/>
    </xf>
    <xf numFmtId="0" fontId="4" fillId="0" borderId="21" xfId="0" applyFont="1" applyFill="1" applyBorder="1" applyAlignment="1">
      <alignment vertical="center"/>
    </xf>
    <xf numFmtId="0" fontId="12" fillId="0" borderId="18" xfId="0" applyFont="1" applyFill="1" applyBorder="1" applyAlignment="1">
      <alignment vertical="center"/>
    </xf>
    <xf numFmtId="0" fontId="9" fillId="0" borderId="18" xfId="0" applyFont="1" applyFill="1" applyBorder="1" applyAlignment="1">
      <alignment vertical="center"/>
    </xf>
    <xf numFmtId="0" fontId="22" fillId="0" borderId="0" xfId="0" applyFont="1" applyAlignment="1">
      <alignment horizontal="center" textRotation="90"/>
    </xf>
    <xf numFmtId="0" fontId="4" fillId="0" borderId="2" xfId="0" applyFont="1" applyFill="1" applyBorder="1" applyAlignment="1">
      <alignment vertical="center"/>
    </xf>
    <xf numFmtId="0" fontId="7" fillId="0" borderId="2" xfId="0" applyFont="1" applyFill="1" applyBorder="1" applyAlignment="1">
      <alignment vertical="center"/>
    </xf>
    <xf numFmtId="0" fontId="4" fillId="9" borderId="2" xfId="0" applyFont="1" applyFill="1" applyBorder="1" applyAlignment="1">
      <alignment vertical="center"/>
    </xf>
    <xf numFmtId="0" fontId="11" fillId="0" borderId="2" xfId="0" applyFont="1" applyFill="1" applyBorder="1" applyAlignment="1">
      <alignment vertical="center"/>
    </xf>
    <xf numFmtId="0" fontId="4" fillId="0" borderId="25" xfId="0" applyFont="1" applyFill="1" applyBorder="1" applyAlignment="1">
      <alignment vertical="center"/>
    </xf>
    <xf numFmtId="0" fontId="4" fillId="7" borderId="2" xfId="0" applyFont="1" applyFill="1" applyBorder="1" applyAlignment="1">
      <alignment vertical="center"/>
    </xf>
    <xf numFmtId="0" fontId="11" fillId="7" borderId="1" xfId="0" applyFont="1" applyFill="1" applyBorder="1" applyAlignment="1">
      <alignment vertical="center"/>
    </xf>
    <xf numFmtId="0" fontId="11" fillId="7" borderId="2" xfId="0" applyFont="1" applyFill="1" applyBorder="1" applyAlignment="1">
      <alignment vertical="center"/>
    </xf>
    <xf numFmtId="0" fontId="11" fillId="7" borderId="18" xfId="0" applyFont="1" applyFill="1" applyBorder="1" applyAlignment="1">
      <alignment vertical="center"/>
    </xf>
    <xf numFmtId="0" fontId="4" fillId="2" borderId="15" xfId="0" applyFont="1" applyFill="1" applyBorder="1" applyAlignment="1">
      <alignment horizontal="center" vertical="center"/>
    </xf>
    <xf numFmtId="0" fontId="18" fillId="0" borderId="0" xfId="0" applyFont="1" applyAlignment="1">
      <alignment horizontal="left" vertical="center"/>
    </xf>
    <xf numFmtId="0" fontId="26" fillId="0" borderId="0" xfId="0" applyFont="1" applyAlignment="1">
      <alignment horizontal="center" vertical="center"/>
    </xf>
    <xf numFmtId="0" fontId="25" fillId="0" borderId="0" xfId="0" applyFont="1" applyAlignment="1">
      <alignment vertical="center"/>
    </xf>
    <xf numFmtId="0" fontId="21" fillId="2" borderId="24" xfId="0" applyFont="1" applyFill="1" applyBorder="1" applyAlignment="1">
      <alignment horizontal="left" vertical="center" wrapText="1"/>
    </xf>
    <xf numFmtId="0" fontId="20" fillId="0" borderId="2" xfId="0" applyFont="1" applyFill="1" applyBorder="1" applyAlignment="1">
      <alignment horizontal="left" vertical="center" wrapText="1"/>
    </xf>
    <xf numFmtId="0" fontId="21" fillId="2" borderId="2" xfId="0" applyFont="1" applyFill="1" applyBorder="1" applyAlignment="1">
      <alignment horizontal="left" vertical="center" wrapText="1"/>
    </xf>
    <xf numFmtId="0" fontId="20" fillId="6" borderId="2" xfId="0" applyFont="1" applyFill="1" applyBorder="1" applyAlignment="1">
      <alignment horizontal="left" vertical="center" wrapText="1"/>
    </xf>
    <xf numFmtId="0" fontId="20" fillId="6" borderId="2" xfId="0" applyFont="1" applyFill="1" applyBorder="1" applyAlignment="1">
      <alignment vertical="center" wrapText="1"/>
    </xf>
    <xf numFmtId="0" fontId="21" fillId="0" borderId="2" xfId="0" applyFont="1" applyFill="1" applyBorder="1" applyAlignment="1">
      <alignment horizontal="left" vertical="center" wrapText="1"/>
    </xf>
    <xf numFmtId="49" fontId="22" fillId="0" borderId="2" xfId="0" applyNumberFormat="1" applyFont="1" applyBorder="1" applyAlignment="1">
      <alignment vertical="center" wrapText="1"/>
    </xf>
    <xf numFmtId="0" fontId="11" fillId="0" borderId="1" xfId="0" applyFont="1" applyBorder="1" applyAlignment="1">
      <alignment vertical="center"/>
    </xf>
    <xf numFmtId="0" fontId="22" fillId="0" borderId="21" xfId="0" applyFont="1" applyFill="1" applyBorder="1" applyAlignment="1">
      <alignment horizontal="center" vertical="center" textRotation="90"/>
    </xf>
    <xf numFmtId="0" fontId="22" fillId="0" borderId="22" xfId="0" applyFont="1" applyFill="1" applyBorder="1" applyAlignment="1">
      <alignment horizontal="center" vertical="center" textRotation="90"/>
    </xf>
    <xf numFmtId="0" fontId="4" fillId="0" borderId="23" xfId="0" applyFont="1" applyFill="1" applyBorder="1" applyAlignment="1">
      <alignment vertical="center"/>
    </xf>
    <xf numFmtId="0" fontId="4" fillId="9" borderId="4" xfId="0" applyFont="1" applyFill="1" applyBorder="1" applyAlignment="1">
      <alignment vertical="center"/>
    </xf>
    <xf numFmtId="0" fontId="4" fillId="7" borderId="4" xfId="0" applyFont="1" applyFill="1" applyBorder="1" applyAlignment="1">
      <alignment vertical="center"/>
    </xf>
    <xf numFmtId="0" fontId="11" fillId="0" borderId="4" xfId="0" applyFont="1" applyFill="1" applyBorder="1" applyAlignment="1">
      <alignment vertical="center"/>
    </xf>
    <xf numFmtId="0" fontId="22" fillId="0" borderId="26" xfId="0" applyFont="1" applyFill="1" applyBorder="1" applyAlignment="1">
      <alignment horizontal="center" vertical="center" textRotation="90"/>
    </xf>
    <xf numFmtId="0" fontId="22" fillId="0" borderId="5" xfId="0" applyFont="1" applyFill="1" applyBorder="1" applyAlignment="1">
      <alignment horizontal="center" vertical="center" textRotation="90"/>
    </xf>
    <xf numFmtId="0" fontId="22" fillId="0" borderId="7" xfId="0" applyFont="1" applyFill="1" applyBorder="1" applyAlignment="1">
      <alignment horizontal="center" vertical="center" textRotation="90"/>
    </xf>
    <xf numFmtId="0" fontId="4" fillId="0" borderId="15" xfId="0" applyFont="1" applyFill="1" applyBorder="1" applyAlignment="1">
      <alignment vertical="center"/>
    </xf>
    <xf numFmtId="0" fontId="4" fillId="0" borderId="16" xfId="0" applyFont="1" applyFill="1" applyBorder="1" applyAlignment="1">
      <alignment vertical="center"/>
    </xf>
    <xf numFmtId="0" fontId="4" fillId="9" borderId="19" xfId="0" applyFont="1" applyFill="1" applyBorder="1" applyAlignment="1">
      <alignment vertical="center"/>
    </xf>
    <xf numFmtId="0" fontId="4" fillId="7" borderId="19" xfId="0" applyFont="1" applyFill="1" applyBorder="1" applyAlignment="1">
      <alignment vertical="center"/>
    </xf>
    <xf numFmtId="0" fontId="4" fillId="0" borderId="24" xfId="0" applyFont="1" applyFill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11" fillId="0" borderId="19" xfId="0" applyFont="1" applyBorder="1" applyAlignment="1">
      <alignment vertical="center"/>
    </xf>
    <xf numFmtId="0" fontId="4" fillId="0" borderId="27" xfId="0" applyFont="1" applyFill="1" applyBorder="1" applyAlignment="1">
      <alignment vertical="center"/>
    </xf>
    <xf numFmtId="0" fontId="22" fillId="0" borderId="23" xfId="0" applyFont="1" applyFill="1" applyBorder="1" applyAlignment="1">
      <alignment horizontal="center" vertical="center" textRotation="90"/>
    </xf>
    <xf numFmtId="0" fontId="4" fillId="2" borderId="21" xfId="0" applyFont="1" applyFill="1" applyBorder="1" applyAlignment="1">
      <alignment horizontal="right" vertical="center"/>
    </xf>
    <xf numFmtId="49" fontId="23" fillId="2" borderId="25" xfId="0" applyNumberFormat="1" applyFont="1" applyFill="1" applyBorder="1" applyAlignment="1">
      <alignment vertical="center" wrapText="1"/>
    </xf>
    <xf numFmtId="0" fontId="4" fillId="0" borderId="28" xfId="0" applyFont="1" applyFill="1" applyBorder="1" applyAlignment="1">
      <alignment vertical="center"/>
    </xf>
    <xf numFmtId="0" fontId="4" fillId="0" borderId="29" xfId="0" applyFont="1" applyFill="1" applyBorder="1" applyAlignment="1">
      <alignment vertical="center"/>
    </xf>
    <xf numFmtId="0" fontId="4" fillId="9" borderId="15" xfId="0" applyFont="1" applyFill="1" applyBorder="1" applyAlignment="1">
      <alignment vertical="center"/>
    </xf>
    <xf numFmtId="0" fontId="4" fillId="9" borderId="16" xfId="0" applyFont="1" applyFill="1" applyBorder="1" applyAlignment="1">
      <alignment vertical="center"/>
    </xf>
    <xf numFmtId="0" fontId="4" fillId="8" borderId="19" xfId="0" applyFont="1" applyFill="1" applyBorder="1" applyAlignment="1">
      <alignment vertical="center"/>
    </xf>
    <xf numFmtId="0" fontId="4" fillId="9" borderId="17" xfId="0" applyFont="1" applyFill="1" applyBorder="1" applyAlignment="1">
      <alignment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3" xfId="0" applyNumberFormat="1" applyFont="1" applyBorder="1" applyAlignment="1">
      <alignment horizontal="center" vertical="center"/>
    </xf>
    <xf numFmtId="164" fontId="4" fillId="0" borderId="4" xfId="0" applyNumberFormat="1" applyFont="1" applyBorder="1" applyAlignment="1">
      <alignment horizontal="center" vertical="center"/>
    </xf>
    <xf numFmtId="164" fontId="14" fillId="0" borderId="2" xfId="0" applyNumberFormat="1" applyFont="1" applyBorder="1" applyAlignment="1">
      <alignment horizontal="center" vertical="center"/>
    </xf>
    <xf numFmtId="164" fontId="14" fillId="0" borderId="3" xfId="0" applyNumberFormat="1" applyFont="1" applyBorder="1" applyAlignment="1">
      <alignment horizontal="center" vertical="center"/>
    </xf>
    <xf numFmtId="164" fontId="14" fillId="0" borderId="4" xfId="0" applyNumberFormat="1" applyFont="1" applyBorder="1" applyAlignment="1">
      <alignment horizontal="center" vertical="center"/>
    </xf>
    <xf numFmtId="164" fontId="3" fillId="3" borderId="2" xfId="0" applyNumberFormat="1" applyFont="1" applyFill="1" applyBorder="1" applyAlignment="1">
      <alignment horizontal="right" vertical="center"/>
    </xf>
    <xf numFmtId="164" fontId="3" fillId="3" borderId="3" xfId="0" applyNumberFormat="1" applyFont="1" applyFill="1" applyBorder="1" applyAlignment="1">
      <alignment horizontal="right" vertical="center"/>
    </xf>
    <xf numFmtId="164" fontId="3" fillId="3" borderId="4" xfId="0" applyNumberFormat="1" applyFont="1" applyFill="1" applyBorder="1" applyAlignment="1">
      <alignment horizontal="right" vertical="center"/>
    </xf>
    <xf numFmtId="164" fontId="14" fillId="0" borderId="2" xfId="0" applyNumberFormat="1" applyFont="1" applyBorder="1" applyAlignment="1">
      <alignment horizontal="center" vertical="center" wrapText="1"/>
    </xf>
    <xf numFmtId="164" fontId="14" fillId="0" borderId="3" xfId="0" applyNumberFormat="1" applyFont="1" applyBorder="1" applyAlignment="1">
      <alignment horizontal="center" vertical="center" wrapText="1"/>
    </xf>
    <xf numFmtId="164" fontId="14" fillId="0" borderId="4" xfId="0" applyNumberFormat="1" applyFont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right" vertical="center"/>
    </xf>
    <xf numFmtId="164" fontId="4" fillId="0" borderId="3" xfId="0" applyNumberFormat="1" applyFont="1" applyBorder="1" applyAlignment="1">
      <alignment horizontal="right" vertical="center"/>
    </xf>
    <xf numFmtId="164" fontId="4" fillId="0" borderId="4" xfId="0" applyNumberFormat="1" applyFont="1" applyBorder="1" applyAlignment="1">
      <alignment horizontal="right" vertical="center"/>
    </xf>
    <xf numFmtId="164" fontId="4" fillId="2" borderId="2" xfId="0" applyNumberFormat="1" applyFont="1" applyFill="1" applyBorder="1" applyAlignment="1">
      <alignment horizontal="right" vertical="center"/>
    </xf>
    <xf numFmtId="164" fontId="4" fillId="2" borderId="3" xfId="0" applyNumberFormat="1" applyFont="1" applyFill="1" applyBorder="1" applyAlignment="1">
      <alignment horizontal="right" vertical="center"/>
    </xf>
    <xf numFmtId="164" fontId="4" fillId="2" borderId="4" xfId="0" applyNumberFormat="1" applyFont="1" applyFill="1" applyBorder="1" applyAlignment="1">
      <alignment horizontal="right" vertical="center"/>
    </xf>
    <xf numFmtId="164" fontId="7" fillId="0" borderId="2" xfId="0" applyNumberFormat="1" applyFont="1" applyFill="1" applyBorder="1" applyAlignment="1">
      <alignment horizontal="center" vertical="center"/>
    </xf>
    <xf numFmtId="164" fontId="7" fillId="0" borderId="3" xfId="0" applyNumberFormat="1" applyFont="1" applyFill="1" applyBorder="1" applyAlignment="1">
      <alignment horizontal="center" vertical="center"/>
    </xf>
    <xf numFmtId="164" fontId="7" fillId="0" borderId="4" xfId="0" applyNumberFormat="1" applyFont="1" applyFill="1" applyBorder="1" applyAlignment="1">
      <alignment horizontal="center" vertical="center"/>
    </xf>
    <xf numFmtId="164" fontId="3" fillId="2" borderId="2" xfId="0" applyNumberFormat="1" applyFont="1" applyFill="1" applyBorder="1" applyAlignment="1">
      <alignment horizontal="right" vertical="center"/>
    </xf>
    <xf numFmtId="164" fontId="3" fillId="2" borderId="3" xfId="0" applyNumberFormat="1" applyFont="1" applyFill="1" applyBorder="1" applyAlignment="1">
      <alignment horizontal="right" vertical="center"/>
    </xf>
    <xf numFmtId="164" fontId="3" fillId="2" borderId="4" xfId="0" applyNumberFormat="1" applyFont="1" applyFill="1" applyBorder="1" applyAlignment="1">
      <alignment horizontal="right" vertical="center"/>
    </xf>
    <xf numFmtId="164" fontId="7" fillId="0" borderId="2" xfId="0" applyNumberFormat="1" applyFont="1" applyBorder="1" applyAlignment="1">
      <alignment horizontal="center" vertical="center"/>
    </xf>
    <xf numFmtId="164" fontId="7" fillId="0" borderId="3" xfId="0" applyNumberFormat="1" applyFont="1" applyBorder="1" applyAlignment="1">
      <alignment horizontal="center" vertical="center"/>
    </xf>
    <xf numFmtId="164" fontId="7" fillId="0" borderId="4" xfId="0" applyNumberFormat="1" applyFont="1" applyBorder="1" applyAlignment="1">
      <alignment horizontal="center" vertical="center"/>
    </xf>
    <xf numFmtId="164" fontId="7" fillId="0" borderId="2" xfId="0" applyNumberFormat="1" applyFont="1" applyBorder="1" applyAlignment="1">
      <alignment horizontal="right" vertical="center"/>
    </xf>
    <xf numFmtId="164" fontId="7" fillId="0" borderId="3" xfId="0" applyNumberFormat="1" applyFont="1" applyBorder="1" applyAlignment="1">
      <alignment horizontal="right" vertical="center"/>
    </xf>
    <xf numFmtId="164" fontId="7" fillId="0" borderId="4" xfId="0" applyNumberFormat="1" applyFont="1" applyBorder="1" applyAlignment="1">
      <alignment horizontal="right" vertical="center"/>
    </xf>
    <xf numFmtId="164" fontId="7" fillId="0" borderId="2" xfId="0" applyNumberFormat="1" applyFont="1" applyFill="1" applyBorder="1" applyAlignment="1">
      <alignment horizontal="right" vertical="center"/>
    </xf>
    <xf numFmtId="164" fontId="7" fillId="0" borderId="3" xfId="0" applyNumberFormat="1" applyFont="1" applyFill="1" applyBorder="1" applyAlignment="1">
      <alignment horizontal="right" vertical="center"/>
    </xf>
    <xf numFmtId="164" fontId="7" fillId="0" borderId="4" xfId="0" applyNumberFormat="1" applyFont="1" applyFill="1" applyBorder="1" applyAlignment="1">
      <alignment horizontal="right" vertical="center"/>
    </xf>
    <xf numFmtId="164" fontId="9" fillId="2" borderId="2" xfId="0" applyNumberFormat="1" applyFont="1" applyFill="1" applyBorder="1" applyAlignment="1">
      <alignment horizontal="right" vertical="center"/>
    </xf>
    <xf numFmtId="164" fontId="9" fillId="2" borderId="3" xfId="0" applyNumberFormat="1" applyFont="1" applyFill="1" applyBorder="1" applyAlignment="1">
      <alignment horizontal="right" vertical="center"/>
    </xf>
    <xf numFmtId="164" fontId="9" fillId="2" borderId="4" xfId="0" applyNumberFormat="1" applyFont="1" applyFill="1" applyBorder="1" applyAlignment="1">
      <alignment horizontal="right" vertical="center"/>
    </xf>
    <xf numFmtId="164" fontId="14" fillId="2" borderId="2" xfId="0" applyNumberFormat="1" applyFont="1" applyFill="1" applyBorder="1" applyAlignment="1">
      <alignment horizontal="right" vertical="center"/>
    </xf>
    <xf numFmtId="164" fontId="14" fillId="2" borderId="3" xfId="0" applyNumberFormat="1" applyFont="1" applyFill="1" applyBorder="1" applyAlignment="1">
      <alignment horizontal="right" vertical="center"/>
    </xf>
    <xf numFmtId="164" fontId="14" fillId="2" borderId="4" xfId="0" applyNumberFormat="1" applyFont="1" applyFill="1" applyBorder="1" applyAlignment="1">
      <alignment horizontal="right" vertical="center"/>
    </xf>
    <xf numFmtId="3" fontId="4" fillId="0" borderId="2" xfId="0" applyNumberFormat="1" applyFont="1" applyFill="1" applyBorder="1" applyAlignment="1">
      <alignment horizontal="center" vertical="center"/>
    </xf>
    <xf numFmtId="3" fontId="4" fillId="0" borderId="3" xfId="0" applyNumberFormat="1" applyFont="1" applyFill="1" applyBorder="1" applyAlignment="1">
      <alignment horizontal="center" vertical="center"/>
    </xf>
    <xf numFmtId="3" fontId="4" fillId="0" borderId="4" xfId="0" applyNumberFormat="1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left" vertical="center"/>
    </xf>
    <xf numFmtId="0" fontId="4" fillId="0" borderId="14" xfId="0" applyFont="1" applyFill="1" applyBorder="1" applyAlignment="1">
      <alignment horizontal="left" vertical="center"/>
    </xf>
    <xf numFmtId="0" fontId="4" fillId="0" borderId="10" xfId="0" applyFont="1" applyFill="1" applyBorder="1" applyAlignment="1">
      <alignment horizontal="left" vertical="center"/>
    </xf>
    <xf numFmtId="0" fontId="7" fillId="0" borderId="5" xfId="0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left" vertical="center"/>
    </xf>
    <xf numFmtId="0" fontId="7" fillId="0" borderId="13" xfId="0" applyFont="1" applyFill="1" applyBorder="1" applyAlignment="1">
      <alignment horizontal="left" vertical="center"/>
    </xf>
    <xf numFmtId="0" fontId="9" fillId="0" borderId="8" xfId="0" applyFont="1" applyFill="1" applyBorder="1" applyAlignment="1">
      <alignment horizontal="left" vertical="center" wrapText="1"/>
    </xf>
    <xf numFmtId="0" fontId="9" fillId="0" borderId="10" xfId="0" applyFont="1" applyFill="1" applyBorder="1" applyAlignment="1">
      <alignment horizontal="left" vertical="center" wrapText="1"/>
    </xf>
    <xf numFmtId="164" fontId="9" fillId="0" borderId="2" xfId="1" applyNumberFormat="1" applyFont="1" applyFill="1" applyBorder="1" applyAlignment="1">
      <alignment horizontal="right" vertical="center"/>
    </xf>
    <xf numFmtId="164" fontId="9" fillId="0" borderId="3" xfId="1" applyNumberFormat="1" applyFont="1" applyFill="1" applyBorder="1" applyAlignment="1">
      <alignment horizontal="right" vertical="center"/>
    </xf>
    <xf numFmtId="164" fontId="9" fillId="0" borderId="4" xfId="1" applyNumberFormat="1" applyFont="1" applyFill="1" applyBorder="1" applyAlignment="1">
      <alignment horizontal="right" vertical="center"/>
    </xf>
    <xf numFmtId="164" fontId="7" fillId="0" borderId="2" xfId="1" applyNumberFormat="1" applyFont="1" applyFill="1" applyBorder="1" applyAlignment="1">
      <alignment horizontal="center" vertical="center"/>
    </xf>
    <xf numFmtId="164" fontId="7" fillId="0" borderId="3" xfId="1" applyNumberFormat="1" applyFont="1" applyFill="1" applyBorder="1" applyAlignment="1">
      <alignment horizontal="center" vertical="center"/>
    </xf>
    <xf numFmtId="164" fontId="7" fillId="0" borderId="4" xfId="1" applyNumberFormat="1" applyFont="1" applyFill="1" applyBorder="1" applyAlignment="1">
      <alignment horizontal="center" vertical="center"/>
    </xf>
    <xf numFmtId="5" fontId="10" fillId="2" borderId="2" xfId="0" applyNumberFormat="1" applyFont="1" applyFill="1" applyBorder="1" applyAlignment="1">
      <alignment horizontal="right" vertical="center" wrapText="1"/>
    </xf>
    <xf numFmtId="5" fontId="10" fillId="2" borderId="3" xfId="0" applyNumberFormat="1" applyFont="1" applyFill="1" applyBorder="1" applyAlignment="1">
      <alignment horizontal="right" vertical="center" wrapText="1"/>
    </xf>
    <xf numFmtId="5" fontId="10" fillId="2" borderId="4" xfId="0" applyNumberFormat="1" applyFont="1" applyFill="1" applyBorder="1" applyAlignment="1">
      <alignment horizontal="right" vertical="center" wrapText="1"/>
    </xf>
    <xf numFmtId="165" fontId="9" fillId="0" borderId="5" xfId="0" applyNumberFormat="1" applyFont="1" applyFill="1" applyBorder="1" applyAlignment="1">
      <alignment horizontal="left" vertical="center"/>
    </xf>
    <xf numFmtId="165" fontId="9" fillId="0" borderId="6" xfId="0" applyNumberFormat="1" applyFont="1" applyFill="1" applyBorder="1" applyAlignment="1">
      <alignment horizontal="left" vertical="center"/>
    </xf>
    <xf numFmtId="0" fontId="9" fillId="2" borderId="10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horizontal="left" vertical="center"/>
    </xf>
    <xf numFmtId="0" fontId="4" fillId="0" borderId="6" xfId="0" applyFont="1" applyFill="1" applyBorder="1" applyAlignment="1">
      <alignment horizontal="left" vertical="center"/>
    </xf>
    <xf numFmtId="165" fontId="9" fillId="0" borderId="5" xfId="0" applyNumberFormat="1" applyFont="1" applyFill="1" applyBorder="1" applyAlignment="1">
      <alignment horizontal="left" vertical="center" wrapText="1"/>
    </xf>
    <xf numFmtId="165" fontId="9" fillId="0" borderId="6" xfId="0" applyNumberFormat="1" applyFont="1" applyFill="1" applyBorder="1" applyAlignment="1">
      <alignment horizontal="left" vertical="center" wrapText="1"/>
    </xf>
    <xf numFmtId="0" fontId="3" fillId="3" borderId="5" xfId="0" applyFont="1" applyFill="1" applyBorder="1" applyAlignment="1">
      <alignment horizontal="left" vertical="center" wrapText="1"/>
    </xf>
    <xf numFmtId="0" fontId="3" fillId="3" borderId="6" xfId="0" applyFont="1" applyFill="1" applyBorder="1" applyAlignment="1">
      <alignment horizontal="left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center" vertical="center" wrapText="1"/>
    </xf>
    <xf numFmtId="164" fontId="3" fillId="3" borderId="5" xfId="0" applyNumberFormat="1" applyFont="1" applyFill="1" applyBorder="1" applyAlignment="1">
      <alignment horizontal="center" vertical="center" wrapText="1"/>
    </xf>
    <xf numFmtId="164" fontId="3" fillId="3" borderId="6" xfId="0" applyNumberFormat="1" applyFont="1" applyFill="1" applyBorder="1" applyAlignment="1">
      <alignment horizontal="center" vertical="center" wrapText="1"/>
    </xf>
    <xf numFmtId="164" fontId="3" fillId="3" borderId="7" xfId="0" applyNumberFormat="1" applyFont="1" applyFill="1" applyBorder="1" applyAlignment="1">
      <alignment horizontal="center" vertical="center" wrapText="1"/>
    </xf>
    <xf numFmtId="164" fontId="3" fillId="3" borderId="11" xfId="0" applyNumberFormat="1" applyFont="1" applyFill="1" applyBorder="1" applyAlignment="1">
      <alignment horizontal="center" vertical="center" wrapText="1"/>
    </xf>
    <xf numFmtId="164" fontId="3" fillId="3" borderId="8" xfId="0" applyNumberFormat="1" applyFont="1" applyFill="1" applyBorder="1" applyAlignment="1">
      <alignment horizontal="center" vertical="center" wrapText="1"/>
    </xf>
    <xf numFmtId="164" fontId="3" fillId="3" borderId="9" xfId="0" applyNumberFormat="1" applyFont="1" applyFill="1" applyBorder="1" applyAlignment="1">
      <alignment horizontal="center" vertical="center" wrapText="1"/>
    </xf>
    <xf numFmtId="164" fontId="3" fillId="3" borderId="12" xfId="0" applyNumberFormat="1" applyFont="1" applyFill="1" applyBorder="1" applyAlignment="1">
      <alignment horizontal="center" vertical="center" wrapText="1"/>
    </xf>
    <xf numFmtId="164" fontId="3" fillId="3" borderId="10" xfId="0" applyNumberFormat="1" applyFont="1" applyFill="1" applyBorder="1" applyAlignment="1">
      <alignment horizontal="center" vertical="center" wrapText="1"/>
    </xf>
    <xf numFmtId="164" fontId="3" fillId="0" borderId="2" xfId="0" applyNumberFormat="1" applyFont="1" applyFill="1" applyBorder="1" applyAlignment="1">
      <alignment horizontal="center" vertical="center"/>
    </xf>
    <xf numFmtId="164" fontId="3" fillId="0" borderId="3" xfId="0" applyNumberFormat="1" applyFont="1" applyFill="1" applyBorder="1" applyAlignment="1">
      <alignment horizontal="center" vertical="center"/>
    </xf>
    <xf numFmtId="164" fontId="3" fillId="0" borderId="4" xfId="0" applyNumberFormat="1" applyFont="1" applyFill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right" vertical="center"/>
    </xf>
    <xf numFmtId="164" fontId="4" fillId="0" borderId="3" xfId="0" applyNumberFormat="1" applyFont="1" applyFill="1" applyBorder="1" applyAlignment="1">
      <alignment horizontal="right" vertical="center"/>
    </xf>
    <xf numFmtId="164" fontId="4" fillId="0" borderId="4" xfId="0" applyNumberFormat="1" applyFont="1" applyFill="1" applyBorder="1" applyAlignment="1">
      <alignment horizontal="right" vertical="center"/>
    </xf>
    <xf numFmtId="164" fontId="9" fillId="2" borderId="2" xfId="1" applyNumberFormat="1" applyFont="1" applyFill="1" applyBorder="1" applyAlignment="1">
      <alignment horizontal="right" vertical="center"/>
    </xf>
    <xf numFmtId="164" fontId="9" fillId="2" borderId="3" xfId="1" applyNumberFormat="1" applyFont="1" applyFill="1" applyBorder="1" applyAlignment="1">
      <alignment horizontal="right" vertical="center"/>
    </xf>
    <xf numFmtId="164" fontId="9" fillId="2" borderId="4" xfId="1" applyNumberFormat="1" applyFont="1" applyFill="1" applyBorder="1" applyAlignment="1">
      <alignment horizontal="right" vertical="center"/>
    </xf>
    <xf numFmtId="164" fontId="5" fillId="0" borderId="2" xfId="0" applyNumberFormat="1" applyFont="1" applyFill="1" applyBorder="1" applyAlignment="1">
      <alignment horizontal="center" vertical="center"/>
    </xf>
    <xf numFmtId="164" fontId="5" fillId="0" borderId="3" xfId="0" applyNumberFormat="1" applyFont="1" applyFill="1" applyBorder="1" applyAlignment="1">
      <alignment horizontal="center" vertical="center"/>
    </xf>
    <xf numFmtId="164" fontId="5" fillId="0" borderId="4" xfId="0" applyNumberFormat="1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right" vertical="center"/>
    </xf>
    <xf numFmtId="17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 wrapText="1"/>
    </xf>
    <xf numFmtId="165" fontId="9" fillId="0" borderId="13" xfId="0" applyNumberFormat="1" applyFont="1" applyFill="1" applyBorder="1" applyAlignment="1">
      <alignment horizontal="left" vertical="center"/>
    </xf>
    <xf numFmtId="164" fontId="5" fillId="2" borderId="2" xfId="0" applyNumberFormat="1" applyFont="1" applyFill="1" applyBorder="1" applyAlignment="1">
      <alignment horizontal="center" vertical="center"/>
    </xf>
    <xf numFmtId="164" fontId="5" fillId="2" borderId="3" xfId="0" applyNumberFormat="1" applyFont="1" applyFill="1" applyBorder="1" applyAlignment="1">
      <alignment horizontal="center" vertical="center"/>
    </xf>
    <xf numFmtId="164" fontId="5" fillId="2" borderId="4" xfId="0" applyNumberFormat="1" applyFont="1" applyFill="1" applyBorder="1" applyAlignment="1">
      <alignment horizontal="center" vertical="center"/>
    </xf>
    <xf numFmtId="165" fontId="9" fillId="0" borderId="8" xfId="0" applyNumberFormat="1" applyFont="1" applyFill="1" applyBorder="1" applyAlignment="1">
      <alignment horizontal="left" vertical="center"/>
    </xf>
    <xf numFmtId="165" fontId="9" fillId="0" borderId="14" xfId="0" applyNumberFormat="1" applyFont="1" applyFill="1" applyBorder="1" applyAlignment="1">
      <alignment horizontal="left" vertical="center"/>
    </xf>
    <xf numFmtId="165" fontId="9" fillId="0" borderId="10" xfId="0" applyNumberFormat="1" applyFont="1" applyFill="1" applyBorder="1" applyAlignment="1">
      <alignment horizontal="left" vertical="center"/>
    </xf>
    <xf numFmtId="164" fontId="9" fillId="2" borderId="2" xfId="0" applyNumberFormat="1" applyFont="1" applyFill="1" applyBorder="1" applyAlignment="1">
      <alignment horizontal="right" vertical="center" wrapText="1"/>
    </xf>
    <xf numFmtId="164" fontId="9" fillId="2" borderId="3" xfId="0" applyNumberFormat="1" applyFont="1" applyFill="1" applyBorder="1" applyAlignment="1">
      <alignment horizontal="right" vertical="center" wrapText="1"/>
    </xf>
    <xf numFmtId="164" fontId="9" fillId="2" borderId="4" xfId="0" applyNumberFormat="1" applyFont="1" applyFill="1" applyBorder="1" applyAlignment="1">
      <alignment horizontal="right" vertical="center" wrapText="1"/>
    </xf>
    <xf numFmtId="164" fontId="7" fillId="0" borderId="1" xfId="0" applyNumberFormat="1" applyFont="1" applyBorder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24" fillId="0" borderId="18" xfId="0" applyFont="1" applyFill="1" applyBorder="1" applyAlignment="1">
      <alignment horizontal="left" vertical="center" wrapText="1"/>
    </xf>
    <xf numFmtId="0" fontId="24" fillId="0" borderId="2" xfId="0" applyFont="1" applyFill="1" applyBorder="1" applyAlignment="1">
      <alignment horizontal="left" vertical="center" wrapText="1"/>
    </xf>
    <xf numFmtId="0" fontId="19" fillId="0" borderId="15" xfId="0" applyFont="1" applyBorder="1" applyAlignment="1">
      <alignment horizontal="center" vertical="center"/>
    </xf>
    <xf numFmtId="0" fontId="19" fillId="0" borderId="26" xfId="0" applyFont="1" applyBorder="1" applyAlignment="1">
      <alignment horizontal="center" vertical="center"/>
    </xf>
    <xf numFmtId="0" fontId="19" fillId="0" borderId="24" xfId="0" applyFont="1" applyBorder="1" applyAlignment="1">
      <alignment horizontal="center" vertical="center"/>
    </xf>
    <xf numFmtId="0" fontId="19" fillId="0" borderId="7" xfId="0" applyFont="1" applyBorder="1" applyAlignment="1">
      <alignment horizontal="center" vertical="center"/>
    </xf>
    <xf numFmtId="0" fontId="26" fillId="0" borderId="0" xfId="0" applyFont="1" applyFill="1" applyAlignment="1">
      <alignment horizontal="center" vertical="center"/>
    </xf>
    <xf numFmtId="0" fontId="19" fillId="0" borderId="15" xfId="0" applyFont="1" applyFill="1" applyBorder="1" applyAlignment="1">
      <alignment horizontal="center" vertical="center"/>
    </xf>
    <xf numFmtId="0" fontId="19" fillId="0" borderId="16" xfId="0" applyFont="1" applyFill="1" applyBorder="1" applyAlignment="1">
      <alignment horizontal="center" vertical="center"/>
    </xf>
    <xf numFmtId="0" fontId="19" fillId="0" borderId="24" xfId="0" applyFont="1" applyFill="1" applyBorder="1" applyAlignment="1">
      <alignment horizontal="center" vertical="center"/>
    </xf>
    <xf numFmtId="0" fontId="19" fillId="0" borderId="17" xfId="0" applyFont="1" applyFill="1" applyBorder="1" applyAlignment="1">
      <alignment horizontal="center" vertical="center"/>
    </xf>
    <xf numFmtId="0" fontId="7" fillId="8" borderId="22" xfId="0" applyFont="1" applyFill="1" applyBorder="1" applyAlignment="1">
      <alignment vertical="center"/>
    </xf>
    <xf numFmtId="0" fontId="7" fillId="0" borderId="22" xfId="0" applyFont="1" applyBorder="1" applyAlignment="1">
      <alignment vertical="center"/>
    </xf>
    <xf numFmtId="0" fontId="17" fillId="10" borderId="22" xfId="0" applyFont="1" applyFill="1" applyBorder="1" applyAlignment="1">
      <alignment vertical="center"/>
    </xf>
    <xf numFmtId="0" fontId="4" fillId="10" borderId="1" xfId="0" applyFont="1" applyFill="1" applyBorder="1" applyAlignment="1">
      <alignment vertic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D179"/>
  <sheetViews>
    <sheetView topLeftCell="A8" zoomScale="70" zoomScaleNormal="70" workbookViewId="0">
      <selection activeCell="G1" sqref="G1:G1048576"/>
    </sheetView>
  </sheetViews>
  <sheetFormatPr defaultRowHeight="14.25" outlineLevelRow="1" outlineLevelCol="1" x14ac:dyDescent="0.25"/>
  <cols>
    <col min="1" max="1" width="8.7109375" style="2" customWidth="1"/>
    <col min="2" max="2" width="29" style="2" customWidth="1"/>
    <col min="3" max="3" width="18.7109375" style="37" customWidth="1" outlineLevel="1"/>
    <col min="4" max="4" width="15.7109375" style="31" customWidth="1" outlineLevel="1"/>
    <col min="5" max="5" width="30.7109375" style="2" customWidth="1"/>
    <col min="6" max="6" width="18.85546875" style="3" customWidth="1"/>
    <col min="7" max="7" width="15.7109375" style="3" customWidth="1"/>
    <col min="8" max="8" width="3.7109375" style="4" customWidth="1"/>
    <col min="9" max="9" width="9.7109375" style="4" customWidth="1"/>
    <col min="10" max="10" width="12.7109375" style="3" customWidth="1"/>
    <col min="11" max="11" width="18.7109375" style="3" customWidth="1"/>
    <col min="12" max="12" width="16.7109375" style="74" customWidth="1"/>
    <col min="13" max="56" width="14.7109375" style="3" customWidth="1"/>
    <col min="57" max="16384" width="9.140625" style="2"/>
  </cols>
  <sheetData>
    <row r="1" spans="1:56" ht="15" x14ac:dyDescent="0.25">
      <c r="A1" s="1" t="s">
        <v>140</v>
      </c>
      <c r="C1" s="32"/>
      <c r="D1" s="28"/>
    </row>
    <row r="2" spans="1:56" ht="15" x14ac:dyDescent="0.25">
      <c r="A2" s="1" t="s">
        <v>29</v>
      </c>
      <c r="C2" s="32"/>
      <c r="D2" s="28"/>
      <c r="H2" s="4" t="s">
        <v>0</v>
      </c>
      <c r="I2" s="4" t="s">
        <v>10</v>
      </c>
      <c r="J2" s="4" t="s">
        <v>2</v>
      </c>
    </row>
    <row r="3" spans="1:56" s="27" customFormat="1" ht="15.75" customHeight="1" x14ac:dyDescent="0.25">
      <c r="A3" s="352" t="s">
        <v>30</v>
      </c>
      <c r="B3" s="356" t="s">
        <v>32</v>
      </c>
      <c r="C3" s="354" t="s">
        <v>17</v>
      </c>
      <c r="D3" s="354" t="s">
        <v>10</v>
      </c>
      <c r="E3" s="354" t="s">
        <v>33</v>
      </c>
      <c r="F3" s="357" t="s">
        <v>34</v>
      </c>
      <c r="G3" s="358" t="s">
        <v>35</v>
      </c>
      <c r="H3" s="360" t="s">
        <v>3</v>
      </c>
      <c r="I3" s="361"/>
      <c r="J3" s="362"/>
      <c r="K3" s="358" t="s">
        <v>36</v>
      </c>
      <c r="L3" s="358" t="s">
        <v>37</v>
      </c>
      <c r="M3" s="379">
        <v>40756</v>
      </c>
      <c r="N3" s="379">
        <v>40787</v>
      </c>
      <c r="O3" s="379">
        <v>40817</v>
      </c>
      <c r="P3" s="379">
        <v>40848</v>
      </c>
      <c r="Q3" s="379">
        <v>40878</v>
      </c>
      <c r="R3" s="379">
        <v>40909</v>
      </c>
      <c r="S3" s="379">
        <v>40940</v>
      </c>
      <c r="T3" s="379">
        <v>40969</v>
      </c>
      <c r="U3" s="379">
        <v>41000</v>
      </c>
      <c r="V3" s="379">
        <v>41030</v>
      </c>
      <c r="W3" s="379">
        <v>41061</v>
      </c>
      <c r="X3" s="379">
        <v>41091</v>
      </c>
      <c r="Y3" s="379">
        <v>41122</v>
      </c>
      <c r="Z3" s="379">
        <v>41153</v>
      </c>
      <c r="AA3" s="379">
        <v>41183</v>
      </c>
      <c r="AB3" s="379">
        <v>41214</v>
      </c>
      <c r="AC3" s="379">
        <v>41244</v>
      </c>
      <c r="AD3" s="379">
        <v>41275</v>
      </c>
      <c r="AE3" s="379">
        <v>41306</v>
      </c>
      <c r="AF3" s="379">
        <v>41334</v>
      </c>
      <c r="AG3" s="379">
        <v>41365</v>
      </c>
      <c r="AH3" s="379">
        <v>41395</v>
      </c>
      <c r="AI3" s="379">
        <v>41426</v>
      </c>
      <c r="AJ3" s="379">
        <v>41456</v>
      </c>
      <c r="AK3" s="379">
        <v>41487</v>
      </c>
      <c r="AL3" s="379">
        <v>41518</v>
      </c>
      <c r="AM3" s="379">
        <v>41548</v>
      </c>
      <c r="AN3" s="379">
        <v>41579</v>
      </c>
      <c r="AO3" s="379">
        <v>41609</v>
      </c>
      <c r="AP3" s="379">
        <v>41640</v>
      </c>
      <c r="AQ3" s="379">
        <v>41671</v>
      </c>
      <c r="AR3" s="379">
        <v>41699</v>
      </c>
      <c r="AS3" s="379">
        <v>41730</v>
      </c>
      <c r="AT3" s="379">
        <v>41760</v>
      </c>
      <c r="AU3" s="379">
        <v>41791</v>
      </c>
      <c r="AV3" s="379">
        <v>41821</v>
      </c>
      <c r="AW3" s="379">
        <v>41852</v>
      </c>
      <c r="AX3" s="379">
        <v>41883</v>
      </c>
      <c r="AY3" s="379">
        <v>41913</v>
      </c>
      <c r="AZ3" s="379">
        <v>41944</v>
      </c>
      <c r="BA3" s="379">
        <v>41974</v>
      </c>
      <c r="BB3" s="379">
        <v>42005</v>
      </c>
      <c r="BC3" s="379">
        <v>42036</v>
      </c>
      <c r="BD3" s="379">
        <v>42064</v>
      </c>
    </row>
    <row r="4" spans="1:56" s="27" customFormat="1" ht="15.75" customHeight="1" x14ac:dyDescent="0.25">
      <c r="A4" s="353"/>
      <c r="B4" s="356"/>
      <c r="C4" s="355"/>
      <c r="D4" s="355"/>
      <c r="E4" s="355"/>
      <c r="F4" s="357"/>
      <c r="G4" s="359"/>
      <c r="H4" s="363"/>
      <c r="I4" s="364"/>
      <c r="J4" s="365"/>
      <c r="K4" s="359"/>
      <c r="L4" s="359"/>
      <c r="M4" s="380"/>
      <c r="N4" s="380"/>
      <c r="O4" s="380"/>
      <c r="P4" s="380"/>
      <c r="Q4" s="380"/>
      <c r="R4" s="380"/>
      <c r="S4" s="380"/>
      <c r="T4" s="380"/>
      <c r="U4" s="380"/>
      <c r="V4" s="380"/>
      <c r="W4" s="380"/>
      <c r="X4" s="380"/>
      <c r="Y4" s="380"/>
      <c r="Z4" s="380"/>
      <c r="AA4" s="380"/>
      <c r="AB4" s="380"/>
      <c r="AC4" s="380"/>
      <c r="AD4" s="380"/>
      <c r="AE4" s="380"/>
      <c r="AF4" s="380"/>
      <c r="AG4" s="380"/>
      <c r="AH4" s="380"/>
      <c r="AI4" s="380"/>
      <c r="AJ4" s="380"/>
      <c r="AK4" s="380"/>
      <c r="AL4" s="380"/>
      <c r="AM4" s="380"/>
      <c r="AN4" s="380"/>
      <c r="AO4" s="380"/>
      <c r="AP4" s="380"/>
      <c r="AQ4" s="380"/>
      <c r="AR4" s="380"/>
      <c r="AS4" s="380"/>
      <c r="AT4" s="380"/>
      <c r="AU4" s="380"/>
      <c r="AV4" s="380"/>
      <c r="AW4" s="380"/>
      <c r="AX4" s="380"/>
      <c r="AY4" s="380"/>
      <c r="AZ4" s="380"/>
      <c r="BA4" s="380"/>
      <c r="BB4" s="380"/>
      <c r="BC4" s="380"/>
      <c r="BD4" s="380"/>
    </row>
    <row r="5" spans="1:56" s="5" customFormat="1" ht="15.75" customHeight="1" x14ac:dyDescent="0.25">
      <c r="A5" s="126" t="s">
        <v>192</v>
      </c>
      <c r="B5" s="12"/>
      <c r="C5" s="168">
        <v>3000000000</v>
      </c>
      <c r="D5" s="205">
        <f>G5+L5</f>
        <v>3000000000</v>
      </c>
      <c r="E5" s="194">
        <f>C5-D5</f>
        <v>0</v>
      </c>
      <c r="F5" s="75">
        <f>F6</f>
        <v>3000000000</v>
      </c>
      <c r="G5" s="75">
        <f>G6</f>
        <v>3000000000</v>
      </c>
      <c r="H5" s="306">
        <f>H6</f>
        <v>3000000000</v>
      </c>
      <c r="I5" s="307"/>
      <c r="J5" s="308"/>
      <c r="K5" s="20">
        <f>F5-G5</f>
        <v>0</v>
      </c>
      <c r="L5" s="75">
        <f>SUM(M5:BD5)</f>
        <v>0</v>
      </c>
      <c r="M5" s="75">
        <f>M6</f>
        <v>0</v>
      </c>
      <c r="N5" s="75">
        <f t="shared" ref="N5:BD5" si="0">N6</f>
        <v>0</v>
      </c>
      <c r="O5" s="75">
        <f t="shared" si="0"/>
        <v>0</v>
      </c>
      <c r="P5" s="75">
        <f t="shared" si="0"/>
        <v>0</v>
      </c>
      <c r="Q5" s="75">
        <f t="shared" si="0"/>
        <v>0</v>
      </c>
      <c r="R5" s="75">
        <f t="shared" si="0"/>
        <v>0</v>
      </c>
      <c r="S5" s="75">
        <f t="shared" si="0"/>
        <v>0</v>
      </c>
      <c r="T5" s="75">
        <f t="shared" si="0"/>
        <v>0</v>
      </c>
      <c r="U5" s="75">
        <f t="shared" si="0"/>
        <v>0</v>
      </c>
      <c r="V5" s="75">
        <f t="shared" si="0"/>
        <v>0</v>
      </c>
      <c r="W5" s="75">
        <f t="shared" si="0"/>
        <v>0</v>
      </c>
      <c r="X5" s="75">
        <f t="shared" si="0"/>
        <v>0</v>
      </c>
      <c r="Y5" s="75">
        <f t="shared" si="0"/>
        <v>0</v>
      </c>
      <c r="Z5" s="75">
        <f t="shared" si="0"/>
        <v>0</v>
      </c>
      <c r="AA5" s="75">
        <f t="shared" si="0"/>
        <v>0</v>
      </c>
      <c r="AB5" s="75">
        <f t="shared" si="0"/>
        <v>0</v>
      </c>
      <c r="AC5" s="75">
        <f t="shared" si="0"/>
        <v>0</v>
      </c>
      <c r="AD5" s="75">
        <f t="shared" si="0"/>
        <v>0</v>
      </c>
      <c r="AE5" s="75">
        <f t="shared" si="0"/>
        <v>0</v>
      </c>
      <c r="AF5" s="75">
        <f t="shared" si="0"/>
        <v>0</v>
      </c>
      <c r="AG5" s="75">
        <f t="shared" si="0"/>
        <v>0</v>
      </c>
      <c r="AH5" s="75">
        <f t="shared" si="0"/>
        <v>0</v>
      </c>
      <c r="AI5" s="75">
        <f t="shared" si="0"/>
        <v>0</v>
      </c>
      <c r="AJ5" s="75">
        <f t="shared" si="0"/>
        <v>0</v>
      </c>
      <c r="AK5" s="75">
        <f t="shared" si="0"/>
        <v>0</v>
      </c>
      <c r="AL5" s="75">
        <f t="shared" si="0"/>
        <v>0</v>
      </c>
      <c r="AM5" s="75">
        <f t="shared" si="0"/>
        <v>0</v>
      </c>
      <c r="AN5" s="75">
        <f t="shared" si="0"/>
        <v>0</v>
      </c>
      <c r="AO5" s="75">
        <f t="shared" si="0"/>
        <v>0</v>
      </c>
      <c r="AP5" s="75">
        <f t="shared" si="0"/>
        <v>0</v>
      </c>
      <c r="AQ5" s="75">
        <f t="shared" si="0"/>
        <v>0</v>
      </c>
      <c r="AR5" s="75">
        <f t="shared" si="0"/>
        <v>0</v>
      </c>
      <c r="AS5" s="75">
        <f t="shared" si="0"/>
        <v>0</v>
      </c>
      <c r="AT5" s="75">
        <f t="shared" si="0"/>
        <v>0</v>
      </c>
      <c r="AU5" s="75">
        <f t="shared" si="0"/>
        <v>0</v>
      </c>
      <c r="AV5" s="75">
        <f t="shared" si="0"/>
        <v>0</v>
      </c>
      <c r="AW5" s="75">
        <f t="shared" si="0"/>
        <v>0</v>
      </c>
      <c r="AX5" s="75">
        <f t="shared" si="0"/>
        <v>0</v>
      </c>
      <c r="AY5" s="75">
        <f t="shared" si="0"/>
        <v>0</v>
      </c>
      <c r="AZ5" s="75">
        <f t="shared" si="0"/>
        <v>0</v>
      </c>
      <c r="BA5" s="75">
        <f t="shared" si="0"/>
        <v>0</v>
      </c>
      <c r="BB5" s="75">
        <f t="shared" si="0"/>
        <v>0</v>
      </c>
      <c r="BC5" s="75">
        <f t="shared" si="0"/>
        <v>0</v>
      </c>
      <c r="BD5" s="75">
        <f t="shared" si="0"/>
        <v>0</v>
      </c>
    </row>
    <row r="6" spans="1:56" s="125" customFormat="1" ht="15.75" customHeight="1" x14ac:dyDescent="0.25">
      <c r="A6" s="111"/>
      <c r="B6" s="35" t="s">
        <v>197</v>
      </c>
      <c r="C6" s="122"/>
      <c r="D6" s="123"/>
      <c r="E6" s="35" t="s">
        <v>198</v>
      </c>
      <c r="F6" s="115">
        <v>3000000000</v>
      </c>
      <c r="G6" s="115">
        <v>3000000000</v>
      </c>
      <c r="H6" s="369">
        <v>3000000000</v>
      </c>
      <c r="I6" s="370"/>
      <c r="J6" s="371"/>
      <c r="K6" s="18">
        <f>F6-G6</f>
        <v>0</v>
      </c>
      <c r="L6" s="115">
        <f>SUM(M6:BD6)</f>
        <v>0</v>
      </c>
      <c r="M6" s="115"/>
      <c r="N6" s="115"/>
      <c r="O6" s="115"/>
      <c r="P6" s="115"/>
      <c r="Q6" s="115"/>
      <c r="R6" s="115"/>
      <c r="S6" s="115"/>
      <c r="T6" s="115"/>
      <c r="U6" s="115"/>
      <c r="V6" s="115"/>
      <c r="W6" s="115"/>
      <c r="X6" s="115"/>
      <c r="Y6" s="115"/>
      <c r="Z6" s="115"/>
      <c r="AA6" s="115"/>
      <c r="AB6" s="115"/>
      <c r="AC6" s="115"/>
      <c r="AD6" s="115"/>
      <c r="AE6" s="115"/>
      <c r="AF6" s="115"/>
      <c r="AG6" s="115"/>
      <c r="AH6" s="115"/>
      <c r="AI6" s="115"/>
      <c r="AJ6" s="115"/>
      <c r="AK6" s="115"/>
      <c r="AL6" s="115"/>
      <c r="AM6" s="115"/>
      <c r="AN6" s="115"/>
      <c r="AO6" s="115"/>
      <c r="AP6" s="115"/>
      <c r="AQ6" s="115"/>
      <c r="AR6" s="115"/>
      <c r="AS6" s="115"/>
      <c r="AT6" s="115"/>
      <c r="AU6" s="115"/>
      <c r="AV6" s="115"/>
      <c r="AW6" s="115"/>
      <c r="AX6" s="115"/>
      <c r="AY6" s="115"/>
      <c r="AZ6" s="115"/>
      <c r="BA6" s="115"/>
      <c r="BB6" s="115"/>
      <c r="BC6" s="115"/>
      <c r="BD6" s="115"/>
    </row>
    <row r="7" spans="1:56" s="5" customFormat="1" ht="15.75" customHeight="1" x14ac:dyDescent="0.25">
      <c r="A7" s="126" t="s">
        <v>193</v>
      </c>
      <c r="B7" s="12"/>
      <c r="C7" s="168">
        <v>360000000</v>
      </c>
      <c r="D7" s="205">
        <f>G7+L7</f>
        <v>368901276.89999998</v>
      </c>
      <c r="E7" s="194">
        <f>C7-D7</f>
        <v>-8901276.8999999762</v>
      </c>
      <c r="F7" s="75">
        <f>SUM(F8:F12)</f>
        <v>368901277</v>
      </c>
      <c r="G7" s="75">
        <f>SUM(G8:G12)</f>
        <v>121134107.5</v>
      </c>
      <c r="H7" s="306">
        <f>SUM(H8:J12)</f>
        <v>0</v>
      </c>
      <c r="I7" s="307"/>
      <c r="J7" s="308"/>
      <c r="K7" s="20">
        <f t="shared" ref="K7:K16" si="1">F7-G7</f>
        <v>247767169.5</v>
      </c>
      <c r="L7" s="75">
        <f t="shared" ref="L7:L12" si="2">SUM(M7:BD7)</f>
        <v>247767169.39999998</v>
      </c>
      <c r="M7" s="75">
        <f t="shared" ref="M7:BC7" si="3">SUM(M8:M12)</f>
        <v>25000</v>
      </c>
      <c r="N7" s="75">
        <f t="shared" si="3"/>
        <v>375000</v>
      </c>
      <c r="O7" s="75">
        <f t="shared" si="3"/>
        <v>85692053.75</v>
      </c>
      <c r="P7" s="75">
        <f t="shared" si="3"/>
        <v>375000</v>
      </c>
      <c r="Q7" s="75">
        <f t="shared" si="3"/>
        <v>375000</v>
      </c>
      <c r="R7" s="75">
        <f t="shared" si="3"/>
        <v>135442053.75</v>
      </c>
      <c r="S7" s="75">
        <f t="shared" si="3"/>
        <v>375000</v>
      </c>
      <c r="T7" s="75">
        <f t="shared" si="3"/>
        <v>375000</v>
      </c>
      <c r="U7" s="75">
        <f t="shared" si="3"/>
        <v>2449806.19</v>
      </c>
      <c r="V7" s="75">
        <f t="shared" si="3"/>
        <v>375000</v>
      </c>
      <c r="W7" s="75">
        <f t="shared" si="3"/>
        <v>375000</v>
      </c>
      <c r="X7" s="75">
        <f t="shared" si="3"/>
        <v>2699806.19</v>
      </c>
      <c r="Y7" s="75">
        <f t="shared" si="3"/>
        <v>375000</v>
      </c>
      <c r="Z7" s="75">
        <f t="shared" si="3"/>
        <v>375000</v>
      </c>
      <c r="AA7" s="75">
        <f t="shared" si="3"/>
        <v>2449806.19</v>
      </c>
      <c r="AB7" s="75">
        <f t="shared" si="3"/>
        <v>375000</v>
      </c>
      <c r="AC7" s="75">
        <f t="shared" si="3"/>
        <v>375000</v>
      </c>
      <c r="AD7" s="75">
        <f t="shared" si="3"/>
        <v>2104806.19</v>
      </c>
      <c r="AE7" s="75">
        <f t="shared" si="3"/>
        <v>30000</v>
      </c>
      <c r="AF7" s="75">
        <f t="shared" si="3"/>
        <v>30000</v>
      </c>
      <c r="AG7" s="75">
        <f t="shared" si="3"/>
        <v>2104806.19</v>
      </c>
      <c r="AH7" s="75">
        <f t="shared" si="3"/>
        <v>30000</v>
      </c>
      <c r="AI7" s="75">
        <f t="shared" si="3"/>
        <v>30000</v>
      </c>
      <c r="AJ7" s="75">
        <f t="shared" si="3"/>
        <v>2104806.19</v>
      </c>
      <c r="AK7" s="75">
        <f t="shared" si="3"/>
        <v>30000</v>
      </c>
      <c r="AL7" s="75">
        <f t="shared" si="3"/>
        <v>30000</v>
      </c>
      <c r="AM7" s="75">
        <f t="shared" si="3"/>
        <v>2104806.19</v>
      </c>
      <c r="AN7" s="75">
        <f t="shared" si="3"/>
        <v>30000</v>
      </c>
      <c r="AO7" s="75">
        <f t="shared" si="3"/>
        <v>30000</v>
      </c>
      <c r="AP7" s="75">
        <f t="shared" si="3"/>
        <v>2074806.19</v>
      </c>
      <c r="AQ7" s="75">
        <f t="shared" si="3"/>
        <v>0</v>
      </c>
      <c r="AR7" s="75">
        <f t="shared" si="3"/>
        <v>0</v>
      </c>
      <c r="AS7" s="75">
        <f t="shared" si="3"/>
        <v>2074806.19</v>
      </c>
      <c r="AT7" s="75">
        <f t="shared" si="3"/>
        <v>0</v>
      </c>
      <c r="AU7" s="75">
        <f t="shared" si="3"/>
        <v>0</v>
      </c>
      <c r="AV7" s="75">
        <f t="shared" si="3"/>
        <v>2074806.19</v>
      </c>
      <c r="AW7" s="75">
        <f t="shared" si="3"/>
        <v>0</v>
      </c>
      <c r="AX7" s="75">
        <f t="shared" si="3"/>
        <v>0</v>
      </c>
      <c r="AY7" s="75">
        <f t="shared" si="3"/>
        <v>0</v>
      </c>
      <c r="AZ7" s="75">
        <f t="shared" si="3"/>
        <v>0</v>
      </c>
      <c r="BA7" s="75">
        <f t="shared" si="3"/>
        <v>0</v>
      </c>
      <c r="BB7" s="75">
        <f t="shared" si="3"/>
        <v>0</v>
      </c>
      <c r="BC7" s="75">
        <f t="shared" si="3"/>
        <v>0</v>
      </c>
      <c r="BD7" s="75">
        <f>SUM(BD8:BD12)</f>
        <v>0</v>
      </c>
    </row>
    <row r="8" spans="1:56" s="125" customFormat="1" ht="15.75" customHeight="1" x14ac:dyDescent="0.25">
      <c r="A8" s="111"/>
      <c r="B8" s="65" t="s">
        <v>184</v>
      </c>
      <c r="C8" s="35" t="s">
        <v>224</v>
      </c>
      <c r="D8" s="123" t="s">
        <v>225</v>
      </c>
      <c r="E8" s="35" t="s">
        <v>185</v>
      </c>
      <c r="F8" s="115">
        <v>361016277</v>
      </c>
      <c r="G8" s="153">
        <f>35067053.75+85067053.75</f>
        <v>120134107.5</v>
      </c>
      <c r="H8" s="369" t="s">
        <v>190</v>
      </c>
      <c r="I8" s="370"/>
      <c r="J8" s="371"/>
      <c r="K8" s="18">
        <f t="shared" si="1"/>
        <v>240882169.5</v>
      </c>
      <c r="L8" s="115">
        <f t="shared" si="2"/>
        <v>240882169.39999998</v>
      </c>
      <c r="M8" s="115"/>
      <c r="N8" s="115"/>
      <c r="O8" s="115">
        <v>85067053.75</v>
      </c>
      <c r="P8" s="115"/>
      <c r="Q8" s="115"/>
      <c r="R8" s="115">
        <v>135067053.75</v>
      </c>
      <c r="S8" s="115"/>
      <c r="T8" s="115"/>
      <c r="U8" s="115">
        <v>2074806.19</v>
      </c>
      <c r="V8" s="115"/>
      <c r="W8" s="115"/>
      <c r="X8" s="115">
        <v>2074806.19</v>
      </c>
      <c r="Y8" s="115"/>
      <c r="Z8" s="115"/>
      <c r="AA8" s="115">
        <v>2074806.19</v>
      </c>
      <c r="AB8" s="115"/>
      <c r="AC8" s="115"/>
      <c r="AD8" s="115">
        <v>2074806.19</v>
      </c>
      <c r="AE8" s="115"/>
      <c r="AF8" s="115"/>
      <c r="AG8" s="115">
        <v>2074806.19</v>
      </c>
      <c r="AH8" s="115"/>
      <c r="AI8" s="115"/>
      <c r="AJ8" s="115">
        <v>2074806.19</v>
      </c>
      <c r="AK8" s="115"/>
      <c r="AL8" s="115"/>
      <c r="AM8" s="115">
        <v>2074806.19</v>
      </c>
      <c r="AN8" s="115"/>
      <c r="AO8" s="115"/>
      <c r="AP8" s="115">
        <v>2074806.19</v>
      </c>
      <c r="AQ8" s="115"/>
      <c r="AR8" s="115"/>
      <c r="AS8" s="115">
        <v>2074806.19</v>
      </c>
      <c r="AT8" s="115"/>
      <c r="AU8" s="115"/>
      <c r="AV8" s="115">
        <v>2074806.19</v>
      </c>
      <c r="AW8" s="115"/>
      <c r="AX8" s="115"/>
      <c r="AY8" s="115"/>
      <c r="AZ8" s="115"/>
      <c r="BA8" s="115"/>
      <c r="BB8" s="115"/>
      <c r="BC8" s="115"/>
      <c r="BD8" s="115"/>
    </row>
    <row r="9" spans="1:56" s="125" customFormat="1" ht="15.75" customHeight="1" x14ac:dyDescent="0.25">
      <c r="A9" s="119"/>
      <c r="B9" s="65" t="s">
        <v>186</v>
      </c>
      <c r="C9" s="122" t="s">
        <v>187</v>
      </c>
      <c r="D9" s="123"/>
      <c r="E9" s="35" t="s">
        <v>188</v>
      </c>
      <c r="F9" s="115">
        <f>5*200000+16*350000</f>
        <v>6600000</v>
      </c>
      <c r="G9" s="115">
        <f>200000+200000+200000+200000+200000</f>
        <v>1000000</v>
      </c>
      <c r="H9" s="369" t="s">
        <v>190</v>
      </c>
      <c r="I9" s="370"/>
      <c r="J9" s="371"/>
      <c r="K9" s="18">
        <f t="shared" si="1"/>
        <v>5600000</v>
      </c>
      <c r="L9" s="115">
        <f t="shared" si="2"/>
        <v>5600000</v>
      </c>
      <c r="M9" s="115"/>
      <c r="N9" s="115">
        <v>350000</v>
      </c>
      <c r="O9" s="115">
        <v>350000</v>
      </c>
      <c r="P9" s="115">
        <v>350000</v>
      </c>
      <c r="Q9" s="115">
        <v>350000</v>
      </c>
      <c r="R9" s="115">
        <v>350000</v>
      </c>
      <c r="S9" s="115">
        <v>350000</v>
      </c>
      <c r="T9" s="115">
        <v>350000</v>
      </c>
      <c r="U9" s="115">
        <v>350000</v>
      </c>
      <c r="V9" s="115">
        <v>350000</v>
      </c>
      <c r="W9" s="115">
        <v>350000</v>
      </c>
      <c r="X9" s="115">
        <v>350000</v>
      </c>
      <c r="Y9" s="115">
        <v>350000</v>
      </c>
      <c r="Z9" s="115">
        <v>350000</v>
      </c>
      <c r="AA9" s="115">
        <v>350000</v>
      </c>
      <c r="AB9" s="115">
        <v>350000</v>
      </c>
      <c r="AC9" s="115">
        <v>350000</v>
      </c>
      <c r="AD9" s="115"/>
      <c r="AE9" s="115"/>
      <c r="AF9" s="115"/>
      <c r="AG9" s="115"/>
      <c r="AH9" s="115"/>
      <c r="AI9" s="115"/>
      <c r="AJ9" s="115"/>
      <c r="AK9" s="115"/>
      <c r="AL9" s="115"/>
      <c r="AM9" s="115"/>
      <c r="AN9" s="115"/>
      <c r="AO9" s="115"/>
      <c r="AP9" s="115"/>
      <c r="AQ9" s="115"/>
      <c r="AR9" s="115"/>
      <c r="AS9" s="115"/>
      <c r="AT9" s="115"/>
      <c r="AU9" s="115"/>
      <c r="AV9" s="115"/>
      <c r="AW9" s="115"/>
      <c r="AX9" s="115"/>
      <c r="AY9" s="115"/>
      <c r="AZ9" s="115"/>
      <c r="BA9" s="115"/>
      <c r="BB9" s="115"/>
      <c r="BC9" s="115"/>
      <c r="BD9" s="115"/>
    </row>
    <row r="10" spans="1:56" s="125" customFormat="1" ht="15.75" customHeight="1" x14ac:dyDescent="0.25">
      <c r="A10" s="119"/>
      <c r="B10" s="65" t="s">
        <v>184</v>
      </c>
      <c r="C10" s="122" t="s">
        <v>187</v>
      </c>
      <c r="D10" s="123"/>
      <c r="E10" s="35" t="s">
        <v>189</v>
      </c>
      <c r="F10" s="115">
        <f>5*25000+12*25000+12*30000</f>
        <v>785000</v>
      </c>
      <c r="G10" s="115">
        <v>0</v>
      </c>
      <c r="H10" s="369" t="s">
        <v>190</v>
      </c>
      <c r="I10" s="370"/>
      <c r="J10" s="371"/>
      <c r="K10" s="18">
        <f t="shared" si="1"/>
        <v>785000</v>
      </c>
      <c r="L10" s="115">
        <f t="shared" si="2"/>
        <v>785000</v>
      </c>
      <c r="M10" s="115">
        <v>25000</v>
      </c>
      <c r="N10" s="115">
        <v>25000</v>
      </c>
      <c r="O10" s="115">
        <v>25000</v>
      </c>
      <c r="P10" s="115">
        <v>25000</v>
      </c>
      <c r="Q10" s="115">
        <v>25000</v>
      </c>
      <c r="R10" s="115">
        <v>25000</v>
      </c>
      <c r="S10" s="115">
        <v>25000</v>
      </c>
      <c r="T10" s="115">
        <v>25000</v>
      </c>
      <c r="U10" s="115">
        <v>25000</v>
      </c>
      <c r="V10" s="115">
        <v>25000</v>
      </c>
      <c r="W10" s="115">
        <v>25000</v>
      </c>
      <c r="X10" s="115">
        <v>25000</v>
      </c>
      <c r="Y10" s="115">
        <v>25000</v>
      </c>
      <c r="Z10" s="115">
        <v>25000</v>
      </c>
      <c r="AA10" s="115">
        <v>25000</v>
      </c>
      <c r="AB10" s="115">
        <v>25000</v>
      </c>
      <c r="AC10" s="115">
        <v>25000</v>
      </c>
      <c r="AD10" s="115">
        <v>30000</v>
      </c>
      <c r="AE10" s="115">
        <v>30000</v>
      </c>
      <c r="AF10" s="115">
        <v>30000</v>
      </c>
      <c r="AG10" s="115">
        <v>30000</v>
      </c>
      <c r="AH10" s="115">
        <v>30000</v>
      </c>
      <c r="AI10" s="115">
        <v>30000</v>
      </c>
      <c r="AJ10" s="115">
        <v>30000</v>
      </c>
      <c r="AK10" s="115">
        <v>30000</v>
      </c>
      <c r="AL10" s="115">
        <v>30000</v>
      </c>
      <c r="AM10" s="115">
        <v>30000</v>
      </c>
      <c r="AN10" s="115">
        <v>30000</v>
      </c>
      <c r="AO10" s="115">
        <v>30000</v>
      </c>
      <c r="AP10" s="115" t="s">
        <v>191</v>
      </c>
      <c r="AQ10" s="115"/>
      <c r="AR10" s="115"/>
      <c r="AS10" s="115"/>
      <c r="AT10" s="115"/>
      <c r="AU10" s="115"/>
      <c r="AV10" s="115"/>
      <c r="AW10" s="115"/>
      <c r="AX10" s="115"/>
      <c r="AY10" s="115"/>
      <c r="AZ10" s="115"/>
      <c r="BA10" s="115"/>
      <c r="BB10" s="115"/>
      <c r="BC10" s="115"/>
      <c r="BD10" s="115"/>
    </row>
    <row r="11" spans="1:56" s="125" customFormat="1" ht="15.75" customHeight="1" x14ac:dyDescent="0.25">
      <c r="A11" s="119"/>
      <c r="B11" s="65" t="s">
        <v>100</v>
      </c>
      <c r="C11" s="122" t="s">
        <v>187</v>
      </c>
      <c r="D11" s="123"/>
      <c r="E11" s="35" t="s">
        <v>245</v>
      </c>
      <c r="F11" s="115">
        <v>500000</v>
      </c>
      <c r="G11" s="115">
        <v>0</v>
      </c>
      <c r="H11" s="369" t="s">
        <v>190</v>
      </c>
      <c r="I11" s="370"/>
      <c r="J11" s="371"/>
      <c r="K11" s="18">
        <f>F11-G11</f>
        <v>500000</v>
      </c>
      <c r="L11" s="115">
        <f>SUM(M11:BD11)</f>
        <v>500000</v>
      </c>
      <c r="M11" s="115"/>
      <c r="N11" s="115"/>
      <c r="O11" s="115">
        <v>250000</v>
      </c>
      <c r="P11" s="115"/>
      <c r="Q11" s="115"/>
      <c r="R11" s="115"/>
      <c r="S11" s="115"/>
      <c r="T11" s="115"/>
      <c r="U11" s="115"/>
      <c r="V11" s="115"/>
      <c r="W11" s="115"/>
      <c r="X11" s="115">
        <v>250000</v>
      </c>
      <c r="Y11" s="115"/>
      <c r="Z11" s="115"/>
      <c r="AA11" s="115"/>
      <c r="AB11" s="115"/>
      <c r="AC11" s="115"/>
      <c r="AD11" s="115"/>
      <c r="AE11" s="115"/>
      <c r="AF11" s="115"/>
      <c r="AG11" s="115"/>
      <c r="AH11" s="115"/>
      <c r="AI11" s="115"/>
      <c r="AJ11" s="115"/>
      <c r="AK11" s="115"/>
      <c r="AL11" s="115"/>
      <c r="AM11" s="115"/>
      <c r="AN11" s="115"/>
      <c r="AO11" s="115"/>
      <c r="AP11" s="115"/>
      <c r="AQ11" s="115"/>
      <c r="AR11" s="115"/>
      <c r="AS11" s="115"/>
      <c r="AT11" s="115"/>
      <c r="AU11" s="115"/>
      <c r="AV11" s="115"/>
      <c r="AW11" s="115"/>
      <c r="AX11" s="115"/>
      <c r="AY11" s="115"/>
      <c r="AZ11" s="115"/>
      <c r="BA11" s="115"/>
      <c r="BB11" s="115"/>
      <c r="BC11" s="115"/>
      <c r="BD11" s="115"/>
    </row>
    <row r="12" spans="1:56" s="133" customFormat="1" ht="15.75" customHeight="1" x14ac:dyDescent="0.25">
      <c r="A12" s="129"/>
      <c r="B12" s="130" t="s">
        <v>100</v>
      </c>
      <c r="C12" s="131"/>
      <c r="D12" s="132"/>
      <c r="E12" s="41" t="s">
        <v>100</v>
      </c>
      <c r="F12" s="76"/>
      <c r="G12" s="76"/>
      <c r="H12" s="315"/>
      <c r="I12" s="316"/>
      <c r="J12" s="317"/>
      <c r="K12" s="43">
        <f t="shared" si="1"/>
        <v>0</v>
      </c>
      <c r="L12" s="76">
        <f t="shared" si="2"/>
        <v>0</v>
      </c>
      <c r="M12" s="76"/>
      <c r="N12" s="76"/>
      <c r="O12" s="76"/>
      <c r="P12" s="76"/>
      <c r="Q12" s="76"/>
      <c r="R12" s="76"/>
      <c r="S12" s="76"/>
      <c r="T12" s="76"/>
      <c r="U12" s="76"/>
      <c r="V12" s="76"/>
      <c r="W12" s="76"/>
      <c r="X12" s="76"/>
      <c r="Y12" s="76"/>
      <c r="Z12" s="76"/>
      <c r="AA12" s="76"/>
      <c r="AB12" s="76"/>
      <c r="AC12" s="76"/>
      <c r="AD12" s="76"/>
      <c r="AE12" s="76"/>
      <c r="AF12" s="76"/>
      <c r="AG12" s="76"/>
      <c r="AH12" s="76"/>
      <c r="AI12" s="76"/>
      <c r="AJ12" s="76"/>
      <c r="AK12" s="76"/>
      <c r="AL12" s="76"/>
      <c r="AM12" s="76"/>
      <c r="AN12" s="76"/>
      <c r="AO12" s="76"/>
      <c r="AP12" s="76"/>
      <c r="AQ12" s="76"/>
      <c r="AR12" s="76"/>
      <c r="AS12" s="76"/>
      <c r="AT12" s="76"/>
      <c r="AU12" s="76"/>
      <c r="AV12" s="76"/>
      <c r="AW12" s="76"/>
      <c r="AX12" s="76"/>
      <c r="AY12" s="76"/>
      <c r="AZ12" s="76"/>
      <c r="BA12" s="76"/>
      <c r="BB12" s="76"/>
      <c r="BC12" s="76"/>
      <c r="BD12" s="76"/>
    </row>
    <row r="13" spans="1:56" s="5" customFormat="1" ht="15.75" customHeight="1" x14ac:dyDescent="0.25">
      <c r="A13" s="128" t="s">
        <v>194</v>
      </c>
      <c r="B13" s="12"/>
      <c r="C13" s="168">
        <f>91000000+19000000</f>
        <v>110000000</v>
      </c>
      <c r="D13" s="205">
        <f>G13+L13-L22</f>
        <v>101822381.16000001</v>
      </c>
      <c r="E13" s="194">
        <f>C13-D13</f>
        <v>8177618.8399999887</v>
      </c>
      <c r="F13" s="75">
        <f>SUM(F14:F56)</f>
        <v>75354710.929999992</v>
      </c>
      <c r="G13" s="75">
        <f>SUM(G14:G56)</f>
        <v>27352589.640000001</v>
      </c>
      <c r="H13" s="306">
        <f>SUM(H14:J56)</f>
        <v>19890609.789999999</v>
      </c>
      <c r="I13" s="307"/>
      <c r="J13" s="308"/>
      <c r="K13" s="20">
        <f t="shared" si="1"/>
        <v>48002121.289999992</v>
      </c>
      <c r="L13" s="75">
        <f t="shared" ref="L13:L56" si="4">SUM(M13:BD13)</f>
        <v>47287275.520000011</v>
      </c>
      <c r="M13" s="75">
        <f t="shared" ref="M13:BD13" si="5">SUM(M14:M56)</f>
        <v>7040731.8399999999</v>
      </c>
      <c r="N13" s="75">
        <f t="shared" si="5"/>
        <v>1080955.53</v>
      </c>
      <c r="O13" s="75">
        <f t="shared" si="5"/>
        <v>5986641.9500000002</v>
      </c>
      <c r="P13" s="75">
        <f t="shared" si="5"/>
        <v>331684.25</v>
      </c>
      <c r="Q13" s="75">
        <f t="shared" si="5"/>
        <v>6311627.8499999996</v>
      </c>
      <c r="R13" s="75">
        <f t="shared" si="5"/>
        <v>331684.25</v>
      </c>
      <c r="S13" s="75">
        <f t="shared" si="5"/>
        <v>5331684.25</v>
      </c>
      <c r="T13" s="75">
        <f t="shared" si="5"/>
        <v>331684.25</v>
      </c>
      <c r="U13" s="75">
        <f t="shared" si="5"/>
        <v>144589.87</v>
      </c>
      <c r="V13" s="75">
        <f t="shared" si="5"/>
        <v>145192.87</v>
      </c>
      <c r="W13" s="75">
        <f t="shared" si="5"/>
        <v>64589.87</v>
      </c>
      <c r="X13" s="75">
        <f t="shared" si="5"/>
        <v>64589.87</v>
      </c>
      <c r="Y13" s="75">
        <f t="shared" si="5"/>
        <v>64589.87</v>
      </c>
      <c r="Z13" s="75">
        <f t="shared" si="5"/>
        <v>0</v>
      </c>
      <c r="AA13" s="75">
        <f t="shared" si="5"/>
        <v>0</v>
      </c>
      <c r="AB13" s="75">
        <f t="shared" si="5"/>
        <v>0</v>
      </c>
      <c r="AC13" s="75">
        <f t="shared" si="5"/>
        <v>3000000</v>
      </c>
      <c r="AD13" s="75">
        <f t="shared" si="5"/>
        <v>0</v>
      </c>
      <c r="AE13" s="75">
        <f t="shared" si="5"/>
        <v>5057029</v>
      </c>
      <c r="AF13" s="75">
        <f t="shared" si="5"/>
        <v>0</v>
      </c>
      <c r="AG13" s="75">
        <f t="shared" si="5"/>
        <v>3000000</v>
      </c>
      <c r="AH13" s="75">
        <f t="shared" si="5"/>
        <v>0</v>
      </c>
      <c r="AI13" s="75">
        <f t="shared" si="5"/>
        <v>3000000</v>
      </c>
      <c r="AJ13" s="75">
        <f t="shared" si="5"/>
        <v>0</v>
      </c>
      <c r="AK13" s="75">
        <f t="shared" si="5"/>
        <v>3000000</v>
      </c>
      <c r="AL13" s="75">
        <f t="shared" si="5"/>
        <v>0</v>
      </c>
      <c r="AM13" s="75">
        <f t="shared" si="5"/>
        <v>3000000</v>
      </c>
      <c r="AN13" s="75">
        <f t="shared" si="5"/>
        <v>0</v>
      </c>
      <c r="AO13" s="75">
        <f t="shared" si="5"/>
        <v>0</v>
      </c>
      <c r="AP13" s="75">
        <f t="shared" si="5"/>
        <v>0</v>
      </c>
      <c r="AQ13" s="75">
        <f t="shared" si="5"/>
        <v>0</v>
      </c>
      <c r="AR13" s="75">
        <f t="shared" si="5"/>
        <v>0</v>
      </c>
      <c r="AS13" s="75">
        <f t="shared" si="5"/>
        <v>0</v>
      </c>
      <c r="AT13" s="75">
        <f t="shared" si="5"/>
        <v>0</v>
      </c>
      <c r="AU13" s="75">
        <f t="shared" si="5"/>
        <v>0</v>
      </c>
      <c r="AV13" s="75">
        <f t="shared" si="5"/>
        <v>0</v>
      </c>
      <c r="AW13" s="75">
        <f t="shared" si="5"/>
        <v>0</v>
      </c>
      <c r="AX13" s="75">
        <f t="shared" si="5"/>
        <v>0</v>
      </c>
      <c r="AY13" s="75">
        <f t="shared" si="5"/>
        <v>0</v>
      </c>
      <c r="AZ13" s="75">
        <f t="shared" si="5"/>
        <v>0</v>
      </c>
      <c r="BA13" s="75">
        <f t="shared" si="5"/>
        <v>0</v>
      </c>
      <c r="BB13" s="75">
        <f t="shared" si="5"/>
        <v>0</v>
      </c>
      <c r="BC13" s="75">
        <f t="shared" si="5"/>
        <v>0</v>
      </c>
      <c r="BD13" s="75">
        <f t="shared" si="5"/>
        <v>0</v>
      </c>
    </row>
    <row r="14" spans="1:56" s="5" customFormat="1" ht="15.75" customHeight="1" x14ac:dyDescent="0.25">
      <c r="A14" s="36" t="s">
        <v>195</v>
      </c>
      <c r="B14" s="10"/>
      <c r="C14" s="33"/>
      <c r="D14" s="9"/>
      <c r="E14" s="10"/>
      <c r="F14" s="11"/>
      <c r="G14" s="11"/>
      <c r="H14" s="366"/>
      <c r="I14" s="367"/>
      <c r="J14" s="368"/>
      <c r="K14" s="18">
        <f t="shared" si="1"/>
        <v>0</v>
      </c>
      <c r="L14" s="115">
        <f t="shared" si="4"/>
        <v>0</v>
      </c>
      <c r="M14" s="127"/>
      <c r="N14" s="127"/>
      <c r="O14" s="127"/>
      <c r="P14" s="127"/>
      <c r="Q14" s="127"/>
      <c r="R14" s="127"/>
      <c r="S14" s="127"/>
      <c r="T14" s="127"/>
      <c r="U14" s="127"/>
      <c r="V14" s="127"/>
      <c r="W14" s="127"/>
      <c r="X14" s="127"/>
      <c r="Y14" s="127"/>
      <c r="Z14" s="127"/>
      <c r="AA14" s="127"/>
      <c r="AB14" s="127"/>
      <c r="AC14" s="127"/>
      <c r="AD14" s="127"/>
      <c r="AE14" s="127"/>
      <c r="AF14" s="127"/>
      <c r="AG14" s="127"/>
      <c r="AH14" s="127"/>
      <c r="AI14" s="127"/>
      <c r="AJ14" s="127"/>
      <c r="AK14" s="127"/>
      <c r="AL14" s="127"/>
      <c r="AM14" s="127"/>
      <c r="AN14" s="127"/>
      <c r="AO14" s="127"/>
      <c r="AP14" s="127"/>
      <c r="AQ14" s="127"/>
      <c r="AR14" s="127"/>
      <c r="AS14" s="127"/>
      <c r="AT14" s="127"/>
      <c r="AU14" s="127"/>
      <c r="AV14" s="127"/>
      <c r="AW14" s="127"/>
      <c r="AX14" s="127"/>
      <c r="AY14" s="127"/>
      <c r="AZ14" s="127"/>
      <c r="BA14" s="127"/>
      <c r="BB14" s="127"/>
      <c r="BC14" s="127"/>
      <c r="BD14" s="127"/>
    </row>
    <row r="15" spans="1:56" s="5" customFormat="1" ht="15.75" customHeight="1" x14ac:dyDescent="0.25">
      <c r="A15" s="36" t="s">
        <v>196</v>
      </c>
      <c r="B15" s="10"/>
      <c r="C15" s="33"/>
      <c r="D15" s="9"/>
      <c r="E15" s="10"/>
      <c r="F15" s="11"/>
      <c r="G15" s="11"/>
      <c r="H15" s="366"/>
      <c r="I15" s="367"/>
      <c r="J15" s="368"/>
      <c r="K15" s="18">
        <f t="shared" si="1"/>
        <v>0</v>
      </c>
      <c r="L15" s="115">
        <f t="shared" si="4"/>
        <v>0</v>
      </c>
      <c r="M15" s="127"/>
      <c r="N15" s="127"/>
      <c r="O15" s="127"/>
      <c r="P15" s="127"/>
      <c r="Q15" s="127"/>
      <c r="R15" s="127"/>
      <c r="S15" s="127"/>
      <c r="T15" s="127"/>
      <c r="U15" s="127"/>
      <c r="V15" s="127"/>
      <c r="W15" s="127"/>
      <c r="X15" s="127"/>
      <c r="Y15" s="127"/>
      <c r="Z15" s="127"/>
      <c r="AA15" s="127"/>
      <c r="AB15" s="127"/>
      <c r="AC15" s="127"/>
      <c r="AD15" s="127"/>
      <c r="AE15" s="127"/>
      <c r="AF15" s="127"/>
      <c r="AG15" s="127"/>
      <c r="AH15" s="127"/>
      <c r="AI15" s="127"/>
      <c r="AJ15" s="127"/>
      <c r="AK15" s="127"/>
      <c r="AL15" s="127"/>
      <c r="AM15" s="127"/>
      <c r="AN15" s="127"/>
      <c r="AO15" s="127"/>
      <c r="AP15" s="127"/>
      <c r="AQ15" s="127"/>
      <c r="AR15" s="127"/>
      <c r="AS15" s="127"/>
      <c r="AT15" s="127"/>
      <c r="AU15" s="127"/>
      <c r="AV15" s="127"/>
      <c r="AW15" s="127"/>
      <c r="AX15" s="127"/>
      <c r="AY15" s="127"/>
      <c r="AZ15" s="127"/>
      <c r="BA15" s="127"/>
      <c r="BB15" s="127"/>
      <c r="BC15" s="127"/>
      <c r="BD15" s="127"/>
    </row>
    <row r="16" spans="1:56" s="5" customFormat="1" ht="15.75" customHeight="1" x14ac:dyDescent="0.25">
      <c r="A16" s="38" t="s">
        <v>183</v>
      </c>
      <c r="B16" s="10"/>
      <c r="C16" s="33"/>
      <c r="D16" s="9"/>
      <c r="E16" s="10"/>
      <c r="F16" s="11"/>
      <c r="G16" s="11"/>
      <c r="H16" s="366"/>
      <c r="I16" s="367"/>
      <c r="J16" s="368"/>
      <c r="K16" s="18">
        <f t="shared" si="1"/>
        <v>0</v>
      </c>
      <c r="L16" s="115">
        <f t="shared" si="4"/>
        <v>0</v>
      </c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</row>
    <row r="17" spans="1:56" s="19" customFormat="1" x14ac:dyDescent="0.25">
      <c r="A17" s="56"/>
      <c r="B17" s="347" t="s">
        <v>15</v>
      </c>
      <c r="C17" s="17" t="s">
        <v>28</v>
      </c>
      <c r="D17" s="30" t="s">
        <v>39</v>
      </c>
      <c r="E17" s="17" t="s">
        <v>16</v>
      </c>
      <c r="F17" s="18">
        <v>67956290</v>
      </c>
      <c r="G17" s="168">
        <f>5000000+2000000+13386887</f>
        <v>20386887</v>
      </c>
      <c r="H17" s="300">
        <f>SUM(J18:J21)</f>
        <v>4756940</v>
      </c>
      <c r="I17" s="301"/>
      <c r="J17" s="302"/>
      <c r="K17" s="18">
        <f>F17-G17</f>
        <v>47569403</v>
      </c>
      <c r="L17" s="115">
        <f t="shared" si="4"/>
        <v>47569403</v>
      </c>
      <c r="M17" s="18">
        <f>2329858+1000000</f>
        <v>3329858</v>
      </c>
      <c r="N17" s="18"/>
      <c r="O17" s="18">
        <v>5000000</v>
      </c>
      <c r="P17" s="18"/>
      <c r="Q17" s="18">
        <v>5000000</v>
      </c>
      <c r="R17" s="18"/>
      <c r="S17" s="18">
        <v>5000000</v>
      </c>
      <c r="T17" s="18"/>
      <c r="U17" s="18">
        <v>5000000</v>
      </c>
      <c r="V17" s="18"/>
      <c r="W17" s="18">
        <v>5000000</v>
      </c>
      <c r="X17" s="18"/>
      <c r="Y17" s="18">
        <v>5000000</v>
      </c>
      <c r="Z17" s="18"/>
      <c r="AA17" s="18">
        <v>5000000</v>
      </c>
      <c r="AB17" s="18"/>
      <c r="AC17" s="18">
        <v>5000000</v>
      </c>
      <c r="AD17" s="18"/>
      <c r="AE17" s="18">
        <v>4239545</v>
      </c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</row>
    <row r="18" spans="1:56" s="82" customFormat="1" ht="11.25" hidden="1" customHeight="1" outlineLevel="1" x14ac:dyDescent="0.25">
      <c r="A18" s="83"/>
      <c r="B18" s="348"/>
      <c r="C18" s="78"/>
      <c r="D18" s="79"/>
      <c r="E18" s="78"/>
      <c r="F18" s="80"/>
      <c r="G18" s="170"/>
      <c r="H18" s="165">
        <v>1</v>
      </c>
      <c r="I18" s="163" t="s">
        <v>40</v>
      </c>
      <c r="J18" s="164">
        <v>4756940</v>
      </c>
      <c r="K18" s="80"/>
      <c r="L18" s="81"/>
      <c r="M18" s="80"/>
      <c r="N18" s="80"/>
      <c r="O18" s="80"/>
      <c r="P18" s="80"/>
      <c r="Q18" s="80"/>
      <c r="R18" s="80"/>
      <c r="S18" s="80"/>
      <c r="T18" s="80"/>
      <c r="U18" s="80"/>
      <c r="V18" s="80"/>
      <c r="W18" s="80"/>
      <c r="X18" s="80"/>
      <c r="Y18" s="80"/>
      <c r="Z18" s="80"/>
      <c r="AA18" s="80"/>
      <c r="AB18" s="80"/>
      <c r="AC18" s="80"/>
      <c r="AD18" s="80"/>
      <c r="AE18" s="80"/>
      <c r="AF18" s="80"/>
      <c r="AG18" s="80"/>
      <c r="AH18" s="80"/>
      <c r="AI18" s="80"/>
      <c r="AJ18" s="80"/>
      <c r="AK18" s="80"/>
      <c r="AL18" s="80"/>
      <c r="AM18" s="80"/>
      <c r="AN18" s="80"/>
      <c r="AO18" s="80"/>
      <c r="AP18" s="80"/>
      <c r="AQ18" s="80"/>
      <c r="AR18" s="80"/>
      <c r="AS18" s="80"/>
      <c r="AT18" s="80"/>
      <c r="AU18" s="80"/>
      <c r="AV18" s="80"/>
      <c r="AW18" s="80"/>
      <c r="AX18" s="80"/>
      <c r="AY18" s="80"/>
      <c r="AZ18" s="80"/>
      <c r="BA18" s="80"/>
      <c r="BB18" s="80"/>
      <c r="BC18" s="80"/>
      <c r="BD18" s="80"/>
    </row>
    <row r="19" spans="1:56" s="82" customFormat="1" ht="11.25" hidden="1" customHeight="1" outlineLevel="1" x14ac:dyDescent="0.25">
      <c r="A19" s="83"/>
      <c r="B19" s="348"/>
      <c r="C19" s="78"/>
      <c r="D19" s="79"/>
      <c r="E19" s="78"/>
      <c r="F19" s="80"/>
      <c r="G19" s="170"/>
      <c r="H19" s="165"/>
      <c r="I19" s="163"/>
      <c r="J19" s="164"/>
      <c r="K19" s="80"/>
      <c r="L19" s="81"/>
      <c r="M19" s="80"/>
      <c r="N19" s="80"/>
      <c r="O19" s="80"/>
      <c r="P19" s="80"/>
      <c r="Q19" s="80"/>
      <c r="R19" s="80"/>
      <c r="S19" s="80"/>
      <c r="T19" s="80"/>
      <c r="U19" s="80"/>
      <c r="V19" s="80"/>
      <c r="W19" s="80"/>
      <c r="X19" s="80"/>
      <c r="Y19" s="80"/>
      <c r="Z19" s="80"/>
      <c r="AA19" s="80"/>
      <c r="AB19" s="80"/>
      <c r="AC19" s="80"/>
      <c r="AD19" s="80"/>
      <c r="AE19" s="80"/>
      <c r="AF19" s="80"/>
      <c r="AG19" s="80"/>
      <c r="AH19" s="80"/>
      <c r="AI19" s="80"/>
      <c r="AJ19" s="80"/>
      <c r="AK19" s="80"/>
      <c r="AL19" s="80"/>
      <c r="AM19" s="80"/>
      <c r="AN19" s="80"/>
      <c r="AO19" s="80"/>
      <c r="AP19" s="80"/>
      <c r="AQ19" s="80"/>
      <c r="AR19" s="80"/>
      <c r="AS19" s="80"/>
      <c r="AT19" s="80"/>
      <c r="AU19" s="80"/>
      <c r="AV19" s="80"/>
      <c r="AW19" s="80"/>
      <c r="AX19" s="80"/>
      <c r="AY19" s="80"/>
      <c r="AZ19" s="80"/>
      <c r="BA19" s="80"/>
      <c r="BB19" s="80"/>
      <c r="BC19" s="80"/>
      <c r="BD19" s="80"/>
    </row>
    <row r="20" spans="1:56" s="82" customFormat="1" ht="11.25" hidden="1" customHeight="1" outlineLevel="1" x14ac:dyDescent="0.25">
      <c r="A20" s="83"/>
      <c r="B20" s="348"/>
      <c r="C20" s="78"/>
      <c r="D20" s="79"/>
      <c r="E20" s="78"/>
      <c r="F20" s="80"/>
      <c r="G20" s="170"/>
      <c r="H20" s="165"/>
      <c r="I20" s="163"/>
      <c r="J20" s="164"/>
      <c r="K20" s="80"/>
      <c r="L20" s="81"/>
      <c r="M20" s="80"/>
      <c r="N20" s="80"/>
      <c r="O20" s="80"/>
      <c r="P20" s="80"/>
      <c r="Q20" s="80"/>
      <c r="R20" s="80"/>
      <c r="S20" s="80"/>
      <c r="T20" s="80"/>
      <c r="U20" s="80"/>
      <c r="V20" s="80"/>
      <c r="W20" s="80"/>
      <c r="X20" s="80"/>
      <c r="Y20" s="80"/>
      <c r="Z20" s="80"/>
      <c r="AA20" s="80"/>
      <c r="AB20" s="80"/>
      <c r="AC20" s="80"/>
      <c r="AD20" s="80"/>
      <c r="AE20" s="80"/>
      <c r="AF20" s="80"/>
      <c r="AG20" s="80"/>
      <c r="AH20" s="80"/>
      <c r="AI20" s="80"/>
      <c r="AJ20" s="80"/>
      <c r="AK20" s="80"/>
      <c r="AL20" s="80"/>
      <c r="AM20" s="80"/>
      <c r="AN20" s="80"/>
      <c r="AO20" s="80"/>
      <c r="AP20" s="80"/>
      <c r="AQ20" s="80"/>
      <c r="AR20" s="80"/>
      <c r="AS20" s="80"/>
      <c r="AT20" s="80"/>
      <c r="AU20" s="80"/>
      <c r="AV20" s="80"/>
      <c r="AW20" s="80"/>
      <c r="AX20" s="80"/>
      <c r="AY20" s="80"/>
      <c r="AZ20" s="80"/>
      <c r="BA20" s="80"/>
      <c r="BB20" s="80"/>
      <c r="BC20" s="80"/>
      <c r="BD20" s="80"/>
    </row>
    <row r="21" spans="1:56" s="82" customFormat="1" ht="11.25" hidden="1" customHeight="1" outlineLevel="1" x14ac:dyDescent="0.25">
      <c r="A21" s="83"/>
      <c r="B21" s="348"/>
      <c r="C21" s="78"/>
      <c r="D21" s="79"/>
      <c r="E21" s="78"/>
      <c r="F21" s="80"/>
      <c r="G21" s="170"/>
      <c r="H21" s="165"/>
      <c r="I21" s="163"/>
      <c r="J21" s="164"/>
      <c r="K21" s="80"/>
      <c r="L21" s="81"/>
      <c r="M21" s="80"/>
      <c r="N21" s="80"/>
      <c r="O21" s="80"/>
      <c r="P21" s="80"/>
      <c r="Q21" s="80"/>
      <c r="R21" s="80"/>
      <c r="S21" s="80"/>
      <c r="T21" s="80"/>
      <c r="U21" s="80"/>
      <c r="V21" s="80"/>
      <c r="W21" s="80"/>
      <c r="X21" s="80"/>
      <c r="Y21" s="80"/>
      <c r="Z21" s="80"/>
      <c r="AA21" s="80"/>
      <c r="AB21" s="80"/>
      <c r="AC21" s="80"/>
      <c r="AD21" s="80"/>
      <c r="AE21" s="80"/>
      <c r="AF21" s="80"/>
      <c r="AG21" s="80"/>
      <c r="AH21" s="80"/>
      <c r="AI21" s="80"/>
      <c r="AJ21" s="80"/>
      <c r="AK21" s="80"/>
      <c r="AL21" s="80"/>
      <c r="AM21" s="80"/>
      <c r="AN21" s="80"/>
      <c r="AO21" s="80"/>
      <c r="AP21" s="80"/>
      <c r="AQ21" s="80"/>
      <c r="AR21" s="80"/>
      <c r="AS21" s="80"/>
      <c r="AT21" s="80"/>
      <c r="AU21" s="80"/>
      <c r="AV21" s="80"/>
      <c r="AW21" s="80"/>
      <c r="AX21" s="80"/>
      <c r="AY21" s="80"/>
      <c r="AZ21" s="80"/>
      <c r="BA21" s="80"/>
      <c r="BB21" s="80"/>
      <c r="BC21" s="80"/>
      <c r="BD21" s="80"/>
    </row>
    <row r="22" spans="1:56" s="98" customFormat="1" collapsed="1" x14ac:dyDescent="0.25">
      <c r="A22" s="189" t="s">
        <v>264</v>
      </c>
      <c r="B22" s="349"/>
      <c r="C22" s="92"/>
      <c r="D22" s="99"/>
      <c r="E22" s="92" t="s">
        <v>152</v>
      </c>
      <c r="F22" s="96">
        <f>-F17*0.4</f>
        <v>-27182516</v>
      </c>
      <c r="G22" s="186">
        <v>0</v>
      </c>
      <c r="H22" s="321">
        <v>0</v>
      </c>
      <c r="I22" s="322"/>
      <c r="J22" s="323"/>
      <c r="K22" s="96">
        <f>F22-G22</f>
        <v>-27182516</v>
      </c>
      <c r="L22" s="97">
        <f t="shared" si="4"/>
        <v>-27182516</v>
      </c>
      <c r="M22" s="96"/>
      <c r="N22" s="96"/>
      <c r="O22" s="96"/>
      <c r="P22" s="96"/>
      <c r="Q22" s="96"/>
      <c r="R22" s="96"/>
      <c r="S22" s="96"/>
      <c r="T22" s="96"/>
      <c r="U22" s="96">
        <v>-5000000</v>
      </c>
      <c r="V22" s="96"/>
      <c r="W22" s="96">
        <v>-5000000</v>
      </c>
      <c r="X22" s="96"/>
      <c r="Y22" s="96">
        <v>-5000000</v>
      </c>
      <c r="Z22" s="96"/>
      <c r="AA22" s="96">
        <v>-5000000</v>
      </c>
      <c r="AB22" s="96"/>
      <c r="AC22" s="96">
        <v>-5000000</v>
      </c>
      <c r="AD22" s="96"/>
      <c r="AE22" s="96">
        <v>-2182516</v>
      </c>
      <c r="AF22" s="96"/>
      <c r="AG22" s="96"/>
      <c r="AH22" s="96"/>
      <c r="AI22" s="96"/>
      <c r="AJ22" s="96"/>
      <c r="AK22" s="96"/>
      <c r="AL22" s="96"/>
      <c r="AM22" s="96"/>
      <c r="AN22" s="96"/>
      <c r="AO22" s="96"/>
      <c r="AP22" s="96"/>
      <c r="AQ22" s="96"/>
      <c r="AR22" s="96"/>
      <c r="AS22" s="96"/>
      <c r="AT22" s="96"/>
      <c r="AU22" s="96"/>
      <c r="AV22" s="96"/>
      <c r="AW22" s="96"/>
      <c r="AX22" s="96"/>
      <c r="AY22" s="96"/>
      <c r="AZ22" s="96"/>
      <c r="BA22" s="96"/>
      <c r="BB22" s="96"/>
      <c r="BC22" s="96"/>
      <c r="BD22" s="96"/>
    </row>
    <row r="23" spans="1:56" s="19" customFormat="1" ht="15.75" customHeight="1" x14ac:dyDescent="0.25">
      <c r="A23" s="60"/>
      <c r="B23" s="344" t="s">
        <v>112</v>
      </c>
      <c r="C23" s="17" t="s">
        <v>41</v>
      </c>
      <c r="D23" s="30" t="s">
        <v>40</v>
      </c>
      <c r="E23" s="17" t="s">
        <v>179</v>
      </c>
      <c r="F23" s="18">
        <v>36372.32</v>
      </c>
      <c r="G23" s="169">
        <v>36372.32</v>
      </c>
      <c r="H23" s="300">
        <v>36372.32</v>
      </c>
      <c r="I23" s="301"/>
      <c r="J23" s="302"/>
      <c r="K23" s="18">
        <f>F23-G23</f>
        <v>0</v>
      </c>
      <c r="L23" s="115">
        <f t="shared" si="4"/>
        <v>0</v>
      </c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</row>
    <row r="24" spans="1:56" s="19" customFormat="1" ht="15.75" customHeight="1" x14ac:dyDescent="0.25">
      <c r="A24" s="60"/>
      <c r="B24" s="381"/>
      <c r="C24" s="17" t="s">
        <v>221</v>
      </c>
      <c r="D24" s="30" t="s">
        <v>166</v>
      </c>
      <c r="E24" s="17" t="s">
        <v>222</v>
      </c>
      <c r="F24" s="18">
        <v>192791.94</v>
      </c>
      <c r="G24" s="169">
        <v>0</v>
      </c>
      <c r="H24" s="300">
        <v>0</v>
      </c>
      <c r="I24" s="301"/>
      <c r="J24" s="302"/>
      <c r="K24" s="18">
        <f>F24-G24</f>
        <v>192791.94</v>
      </c>
      <c r="L24" s="115">
        <f t="shared" si="4"/>
        <v>192791.94</v>
      </c>
      <c r="M24" s="18">
        <v>192791.94</v>
      </c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</row>
    <row r="25" spans="1:56" s="19" customFormat="1" ht="15.75" customHeight="1" x14ac:dyDescent="0.25">
      <c r="A25" s="60"/>
      <c r="B25" s="381"/>
      <c r="C25" s="17" t="s">
        <v>246</v>
      </c>
      <c r="D25" s="30" t="s">
        <v>143</v>
      </c>
      <c r="E25" s="17"/>
      <c r="F25" s="18">
        <v>3774.82</v>
      </c>
      <c r="G25" s="169">
        <v>3774.82</v>
      </c>
      <c r="H25" s="300">
        <v>3774.82</v>
      </c>
      <c r="I25" s="301"/>
      <c r="J25" s="302"/>
      <c r="K25" s="18">
        <f>F25-G25</f>
        <v>0</v>
      </c>
      <c r="L25" s="167">
        <f t="shared" si="4"/>
        <v>0</v>
      </c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</row>
    <row r="26" spans="1:56" s="19" customFormat="1" x14ac:dyDescent="0.25">
      <c r="A26" s="60"/>
      <c r="B26" s="327" t="s">
        <v>19</v>
      </c>
      <c r="C26" s="17" t="s">
        <v>47</v>
      </c>
      <c r="D26" s="30" t="s">
        <v>46</v>
      </c>
      <c r="E26" s="17" t="s">
        <v>22</v>
      </c>
      <c r="F26" s="18">
        <v>1679028</v>
      </c>
      <c r="G26" s="168">
        <f>165739.5+122504.46+165739.5+122504.46</f>
        <v>576487.92000000004</v>
      </c>
      <c r="H26" s="300">
        <f>SUM(J27:J34)</f>
        <v>1066505.79</v>
      </c>
      <c r="I26" s="301"/>
      <c r="J26" s="302"/>
      <c r="K26" s="18">
        <f>F26-G26</f>
        <v>1102540.08</v>
      </c>
      <c r="L26" s="55">
        <f t="shared" si="4"/>
        <v>1347549.5</v>
      </c>
      <c r="M26" s="18">
        <f>122504.5*4</f>
        <v>490018</v>
      </c>
      <c r="N26" s="18">
        <v>122504.5</v>
      </c>
      <c r="O26" s="18">
        <v>122504.5</v>
      </c>
      <c r="P26" s="18">
        <v>122504.5</v>
      </c>
      <c r="Q26" s="18">
        <v>122504.5</v>
      </c>
      <c r="R26" s="18">
        <v>122504.5</v>
      </c>
      <c r="S26" s="18">
        <v>122504.5</v>
      </c>
      <c r="T26" s="18">
        <v>122504.5</v>
      </c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</row>
    <row r="27" spans="1:56" s="82" customFormat="1" ht="11.25" hidden="1" outlineLevel="1" x14ac:dyDescent="0.25">
      <c r="A27" s="83"/>
      <c r="B27" s="328"/>
      <c r="C27" s="78"/>
      <c r="D27" s="79"/>
      <c r="E27" s="78"/>
      <c r="F27" s="80"/>
      <c r="G27" s="170"/>
      <c r="H27" s="165">
        <v>1</v>
      </c>
      <c r="I27" s="171" t="s">
        <v>91</v>
      </c>
      <c r="J27" s="164">
        <v>331479</v>
      </c>
      <c r="K27" s="80"/>
      <c r="L27" s="81"/>
      <c r="M27" s="80"/>
      <c r="N27" s="80"/>
      <c r="O27" s="80"/>
      <c r="P27" s="80"/>
      <c r="Q27" s="80"/>
      <c r="R27" s="80"/>
      <c r="S27" s="80"/>
      <c r="T27" s="80"/>
      <c r="U27" s="80"/>
      <c r="V27" s="80"/>
      <c r="W27" s="80"/>
      <c r="X27" s="80"/>
      <c r="Y27" s="80"/>
      <c r="Z27" s="80"/>
      <c r="AA27" s="80"/>
      <c r="AB27" s="80"/>
      <c r="AC27" s="80"/>
      <c r="AD27" s="80"/>
      <c r="AE27" s="80"/>
      <c r="AF27" s="80"/>
      <c r="AG27" s="80"/>
      <c r="AH27" s="80"/>
      <c r="AI27" s="80"/>
      <c r="AJ27" s="80"/>
      <c r="AK27" s="80"/>
      <c r="AL27" s="80"/>
      <c r="AM27" s="80"/>
      <c r="AN27" s="80"/>
      <c r="AO27" s="80"/>
      <c r="AP27" s="80"/>
      <c r="AQ27" s="80"/>
      <c r="AR27" s="80"/>
      <c r="AS27" s="80"/>
      <c r="AT27" s="80"/>
      <c r="AU27" s="80"/>
      <c r="AV27" s="80"/>
      <c r="AW27" s="80"/>
      <c r="AX27" s="80"/>
      <c r="AY27" s="80"/>
      <c r="AZ27" s="80"/>
      <c r="BA27" s="80"/>
      <c r="BB27" s="80"/>
      <c r="BC27" s="80"/>
      <c r="BD27" s="80"/>
    </row>
    <row r="28" spans="1:56" s="82" customFormat="1" ht="11.25" hidden="1" outlineLevel="1" x14ac:dyDescent="0.25">
      <c r="A28" s="83"/>
      <c r="B28" s="328"/>
      <c r="C28" s="78"/>
      <c r="D28" s="79"/>
      <c r="E28" s="78"/>
      <c r="F28" s="80"/>
      <c r="G28" s="170"/>
      <c r="H28" s="165">
        <v>2</v>
      </c>
      <c r="I28" s="171" t="s">
        <v>219</v>
      </c>
      <c r="J28" s="164">
        <v>122504.46</v>
      </c>
      <c r="K28" s="80"/>
      <c r="L28" s="81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0"/>
      <c r="AE28" s="80"/>
      <c r="AF28" s="80"/>
      <c r="AG28" s="80"/>
      <c r="AH28" s="80"/>
      <c r="AI28" s="80"/>
      <c r="AJ28" s="80"/>
      <c r="AK28" s="80"/>
      <c r="AL28" s="80"/>
      <c r="AM28" s="80"/>
      <c r="AN28" s="80"/>
      <c r="AO28" s="80"/>
      <c r="AP28" s="80"/>
      <c r="AQ28" s="80"/>
      <c r="AR28" s="80"/>
      <c r="AS28" s="80"/>
      <c r="AT28" s="80"/>
      <c r="AU28" s="80"/>
      <c r="AV28" s="80"/>
      <c r="AW28" s="80"/>
      <c r="AX28" s="80"/>
      <c r="AY28" s="80"/>
      <c r="AZ28" s="80"/>
      <c r="BA28" s="80"/>
      <c r="BB28" s="80"/>
      <c r="BC28" s="80"/>
      <c r="BD28" s="80"/>
    </row>
    <row r="29" spans="1:56" s="82" customFormat="1" ht="11.25" hidden="1" outlineLevel="1" x14ac:dyDescent="0.25">
      <c r="A29" s="83"/>
      <c r="B29" s="328"/>
      <c r="C29" s="78"/>
      <c r="D29" s="79"/>
      <c r="E29" s="78"/>
      <c r="F29" s="80"/>
      <c r="G29" s="170"/>
      <c r="H29" s="165">
        <v>4</v>
      </c>
      <c r="I29" s="171" t="s">
        <v>38</v>
      </c>
      <c r="J29" s="164">
        <v>122504.46</v>
      </c>
      <c r="K29" s="80"/>
      <c r="L29" s="81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0"/>
      <c r="AE29" s="80"/>
      <c r="AF29" s="80"/>
      <c r="AG29" s="80"/>
      <c r="AH29" s="80"/>
      <c r="AI29" s="80"/>
      <c r="AJ29" s="80"/>
      <c r="AK29" s="80"/>
      <c r="AL29" s="80"/>
      <c r="AM29" s="80"/>
      <c r="AN29" s="80"/>
      <c r="AO29" s="80"/>
      <c r="AP29" s="80"/>
      <c r="AQ29" s="80"/>
      <c r="AR29" s="80"/>
      <c r="AS29" s="80"/>
      <c r="AT29" s="80"/>
      <c r="AU29" s="80"/>
      <c r="AV29" s="80"/>
      <c r="AW29" s="80"/>
      <c r="AX29" s="80"/>
      <c r="AY29" s="80"/>
      <c r="AZ29" s="80"/>
      <c r="BA29" s="80"/>
      <c r="BB29" s="80"/>
      <c r="BC29" s="80"/>
      <c r="BD29" s="80"/>
    </row>
    <row r="30" spans="1:56" s="82" customFormat="1" ht="11.25" hidden="1" outlineLevel="1" x14ac:dyDescent="0.25">
      <c r="A30" s="83"/>
      <c r="B30" s="328"/>
      <c r="C30" s="78"/>
      <c r="D30" s="79"/>
      <c r="E30" s="78"/>
      <c r="F30" s="80"/>
      <c r="G30" s="170"/>
      <c r="H30" s="165">
        <v>6</v>
      </c>
      <c r="I30" s="171" t="s">
        <v>156</v>
      </c>
      <c r="J30" s="164">
        <v>122504.46</v>
      </c>
      <c r="K30" s="80"/>
      <c r="L30" s="81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0"/>
      <c r="AE30" s="80"/>
      <c r="AF30" s="80"/>
      <c r="AG30" s="80"/>
      <c r="AH30" s="80"/>
      <c r="AI30" s="80"/>
      <c r="AJ30" s="80"/>
      <c r="AK30" s="80"/>
      <c r="AL30" s="80"/>
      <c r="AM30" s="80"/>
      <c r="AN30" s="80"/>
      <c r="AO30" s="80"/>
      <c r="AP30" s="80"/>
      <c r="AQ30" s="80"/>
      <c r="AR30" s="80"/>
      <c r="AS30" s="80"/>
      <c r="AT30" s="80"/>
      <c r="AU30" s="80"/>
      <c r="AV30" s="80"/>
      <c r="AW30" s="80"/>
      <c r="AX30" s="80"/>
      <c r="AY30" s="80"/>
      <c r="AZ30" s="80"/>
      <c r="BA30" s="80"/>
      <c r="BB30" s="80"/>
      <c r="BC30" s="80"/>
      <c r="BD30" s="80"/>
    </row>
    <row r="31" spans="1:56" s="82" customFormat="1" ht="11.25" hidden="1" outlineLevel="1" x14ac:dyDescent="0.25">
      <c r="A31" s="83"/>
      <c r="B31" s="328"/>
      <c r="C31" s="78"/>
      <c r="D31" s="79"/>
      <c r="E31" s="78"/>
      <c r="F31" s="80"/>
      <c r="G31" s="170"/>
      <c r="H31" s="165">
        <v>3</v>
      </c>
      <c r="I31" s="171" t="s">
        <v>151</v>
      </c>
      <c r="J31" s="164">
        <v>122504.47</v>
      </c>
      <c r="K31" s="80"/>
      <c r="L31" s="81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0"/>
      <c r="AE31" s="80"/>
      <c r="AF31" s="80"/>
      <c r="AG31" s="80"/>
      <c r="AH31" s="80"/>
      <c r="AI31" s="80"/>
      <c r="AJ31" s="80"/>
      <c r="AK31" s="80"/>
      <c r="AL31" s="80"/>
      <c r="AM31" s="80"/>
      <c r="AN31" s="80"/>
      <c r="AO31" s="80"/>
      <c r="AP31" s="80"/>
      <c r="AQ31" s="80"/>
      <c r="AR31" s="80"/>
      <c r="AS31" s="80"/>
      <c r="AT31" s="80"/>
      <c r="AU31" s="80"/>
      <c r="AV31" s="80"/>
      <c r="AW31" s="80"/>
      <c r="AX31" s="80"/>
      <c r="AY31" s="80"/>
      <c r="AZ31" s="80"/>
      <c r="BA31" s="80"/>
      <c r="BB31" s="80"/>
      <c r="BC31" s="80"/>
      <c r="BD31" s="80"/>
    </row>
    <row r="32" spans="1:56" s="82" customFormat="1" ht="11.25" hidden="1" outlineLevel="1" x14ac:dyDescent="0.25">
      <c r="A32" s="83"/>
      <c r="B32" s="328"/>
      <c r="C32" s="78"/>
      <c r="D32" s="79"/>
      <c r="E32" s="78"/>
      <c r="F32" s="80"/>
      <c r="G32" s="170"/>
      <c r="H32" s="165">
        <v>5</v>
      </c>
      <c r="I32" s="171" t="s">
        <v>151</v>
      </c>
      <c r="J32" s="164">
        <v>122504.47</v>
      </c>
      <c r="K32" s="80"/>
      <c r="L32" s="81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0"/>
      <c r="AE32" s="80"/>
      <c r="AF32" s="80"/>
      <c r="AG32" s="80"/>
      <c r="AH32" s="80"/>
      <c r="AI32" s="80"/>
      <c r="AJ32" s="80"/>
      <c r="AK32" s="80"/>
      <c r="AL32" s="80"/>
      <c r="AM32" s="80"/>
      <c r="AN32" s="80"/>
      <c r="AO32" s="80"/>
      <c r="AP32" s="80"/>
      <c r="AQ32" s="80"/>
      <c r="AR32" s="80"/>
      <c r="AS32" s="80"/>
      <c r="AT32" s="80"/>
      <c r="AU32" s="80"/>
      <c r="AV32" s="80"/>
      <c r="AW32" s="80"/>
      <c r="AX32" s="80"/>
      <c r="AY32" s="80"/>
      <c r="AZ32" s="80"/>
      <c r="BA32" s="80"/>
      <c r="BB32" s="80"/>
      <c r="BC32" s="80"/>
      <c r="BD32" s="80"/>
    </row>
    <row r="33" spans="1:56" s="82" customFormat="1" ht="11.25" hidden="1" outlineLevel="1" x14ac:dyDescent="0.25">
      <c r="A33" s="83"/>
      <c r="B33" s="328"/>
      <c r="C33" s="78"/>
      <c r="D33" s="79"/>
      <c r="E33" s="78"/>
      <c r="F33" s="80"/>
      <c r="G33" s="170"/>
      <c r="H33" s="165" t="s">
        <v>257</v>
      </c>
      <c r="I33" s="171" t="s">
        <v>258</v>
      </c>
      <c r="J33" s="164">
        <v>122504.47</v>
      </c>
      <c r="K33" s="80"/>
      <c r="L33" s="81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0"/>
      <c r="AE33" s="80"/>
      <c r="AF33" s="80"/>
      <c r="AG33" s="80"/>
      <c r="AH33" s="80"/>
      <c r="AI33" s="80"/>
      <c r="AJ33" s="80"/>
      <c r="AK33" s="80"/>
      <c r="AL33" s="80"/>
      <c r="AM33" s="80"/>
      <c r="AN33" s="80"/>
      <c r="AO33" s="80"/>
      <c r="AP33" s="80"/>
      <c r="AQ33" s="80"/>
      <c r="AR33" s="80"/>
      <c r="AS33" s="80"/>
      <c r="AT33" s="80"/>
      <c r="AU33" s="80"/>
      <c r="AV33" s="80"/>
      <c r="AW33" s="80"/>
      <c r="AX33" s="80"/>
      <c r="AY33" s="80"/>
      <c r="AZ33" s="80"/>
      <c r="BA33" s="80"/>
      <c r="BB33" s="80"/>
      <c r="BC33" s="80"/>
      <c r="BD33" s="80"/>
    </row>
    <row r="34" spans="1:56" s="82" customFormat="1" ht="11.25" hidden="1" outlineLevel="1" x14ac:dyDescent="0.25">
      <c r="A34" s="83"/>
      <c r="B34" s="328"/>
      <c r="C34" s="78"/>
      <c r="D34" s="79"/>
      <c r="E34" s="78"/>
      <c r="F34" s="80"/>
      <c r="G34" s="170"/>
      <c r="K34" s="80"/>
      <c r="L34" s="81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0"/>
      <c r="AE34" s="80"/>
      <c r="AF34" s="80"/>
      <c r="AG34" s="80"/>
      <c r="AH34" s="80"/>
      <c r="AI34" s="80"/>
      <c r="AJ34" s="80"/>
      <c r="AK34" s="80"/>
      <c r="AL34" s="80"/>
      <c r="AM34" s="80"/>
      <c r="AN34" s="80"/>
      <c r="AO34" s="80"/>
      <c r="AP34" s="80"/>
      <c r="AQ34" s="80"/>
      <c r="AR34" s="80"/>
      <c r="AS34" s="80"/>
      <c r="AT34" s="80"/>
      <c r="AU34" s="80"/>
      <c r="AV34" s="80"/>
      <c r="AW34" s="80"/>
      <c r="AX34" s="80"/>
      <c r="AY34" s="80"/>
      <c r="AZ34" s="80"/>
      <c r="BA34" s="80"/>
      <c r="BB34" s="80"/>
      <c r="BC34" s="80"/>
      <c r="BD34" s="80"/>
    </row>
    <row r="35" spans="1:56" s="19" customFormat="1" collapsed="1" x14ac:dyDescent="0.25">
      <c r="A35" s="60"/>
      <c r="B35" s="328"/>
      <c r="C35" s="17" t="s">
        <v>48</v>
      </c>
      <c r="D35" s="30" t="s">
        <v>46</v>
      </c>
      <c r="E35" s="17" t="s">
        <v>20</v>
      </c>
      <c r="F35" s="18">
        <v>560603</v>
      </c>
      <c r="G35" s="169">
        <v>0</v>
      </c>
      <c r="H35" s="300">
        <v>0</v>
      </c>
      <c r="I35" s="301"/>
      <c r="J35" s="302"/>
      <c r="K35" s="18">
        <f t="shared" ref="K35:K58" si="6">F35-G35</f>
        <v>560603</v>
      </c>
      <c r="L35" s="55">
        <f t="shared" si="4"/>
        <v>560603</v>
      </c>
      <c r="M35" s="18"/>
      <c r="N35" s="18"/>
      <c r="O35" s="18"/>
      <c r="P35" s="18">
        <v>80000</v>
      </c>
      <c r="Q35" s="18">
        <v>80000</v>
      </c>
      <c r="R35" s="18">
        <v>80000</v>
      </c>
      <c r="S35" s="18">
        <v>80000</v>
      </c>
      <c r="T35" s="18">
        <v>80000</v>
      </c>
      <c r="U35" s="18">
        <v>80000</v>
      </c>
      <c r="V35" s="18">
        <v>80603</v>
      </c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</row>
    <row r="36" spans="1:56" s="19" customFormat="1" x14ac:dyDescent="0.25">
      <c r="A36" s="60"/>
      <c r="B36" s="328"/>
      <c r="C36" s="17" t="s">
        <v>49</v>
      </c>
      <c r="D36" s="30" t="s">
        <v>46</v>
      </c>
      <c r="E36" s="17" t="s">
        <v>21</v>
      </c>
      <c r="F36" s="18">
        <v>1246478.8700000001</v>
      </c>
      <c r="G36" s="169">
        <v>0</v>
      </c>
      <c r="H36" s="300">
        <v>0</v>
      </c>
      <c r="I36" s="301"/>
      <c r="J36" s="302"/>
      <c r="K36" s="18">
        <f t="shared" si="6"/>
        <v>1246478.8700000001</v>
      </c>
      <c r="L36" s="55">
        <f>SUM(N36:BD36)</f>
        <v>1246478.8800000004</v>
      </c>
      <c r="N36" s="18">
        <v>148451.03</v>
      </c>
      <c r="O36" s="18">
        <f>129179.75</f>
        <v>129179.75</v>
      </c>
      <c r="P36" s="18">
        <v>129179.75</v>
      </c>
      <c r="Q36" s="18">
        <v>129179.75</v>
      </c>
      <c r="R36" s="18">
        <v>129179.75</v>
      </c>
      <c r="S36" s="18">
        <v>129179.75</v>
      </c>
      <c r="T36" s="18">
        <v>129179.75</v>
      </c>
      <c r="U36" s="18">
        <v>64589.87</v>
      </c>
      <c r="V36" s="18">
        <v>64589.87</v>
      </c>
      <c r="W36" s="18">
        <v>64589.87</v>
      </c>
      <c r="X36" s="18">
        <v>64589.87</v>
      </c>
      <c r="Y36" s="18">
        <v>64589.87</v>
      </c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  <c r="AY36" s="18"/>
      <c r="AZ36" s="18"/>
      <c r="BA36" s="18"/>
      <c r="BB36" s="18"/>
      <c r="BC36" s="18"/>
      <c r="BD36" s="18"/>
    </row>
    <row r="37" spans="1:56" s="19" customFormat="1" x14ac:dyDescent="0.25">
      <c r="A37" s="60"/>
      <c r="B37" s="328"/>
      <c r="C37" s="57" t="s">
        <v>61</v>
      </c>
      <c r="D37" s="50" t="s">
        <v>93</v>
      </c>
      <c r="E37" s="49" t="s">
        <v>126</v>
      </c>
      <c r="F37" s="54">
        <v>1705663</v>
      </c>
      <c r="G37" s="168">
        <f>421502.09+300656.14+983504.86</f>
        <v>1705663.0899999999</v>
      </c>
      <c r="H37" s="300">
        <f>300656.14+1405006.95</f>
        <v>1705663.0899999999</v>
      </c>
      <c r="I37" s="301"/>
      <c r="J37" s="302"/>
      <c r="K37" s="18">
        <f t="shared" si="6"/>
        <v>-8.9999999850988388E-2</v>
      </c>
      <c r="L37" s="55">
        <f t="shared" si="4"/>
        <v>0</v>
      </c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8"/>
      <c r="AX37" s="18"/>
      <c r="AY37" s="18"/>
      <c r="AZ37" s="18"/>
      <c r="BA37" s="18"/>
      <c r="BB37" s="18"/>
      <c r="BC37" s="18"/>
      <c r="BD37" s="18"/>
    </row>
    <row r="38" spans="1:56" s="19" customFormat="1" x14ac:dyDescent="0.25">
      <c r="A38" s="60"/>
      <c r="B38" s="328"/>
      <c r="C38" s="17" t="s">
        <v>120</v>
      </c>
      <c r="D38" s="50" t="s">
        <v>121</v>
      </c>
      <c r="E38" s="49" t="s">
        <v>122</v>
      </c>
      <c r="F38" s="54">
        <v>2521807.34</v>
      </c>
      <c r="G38" s="168">
        <f>1000000+500000</f>
        <v>1500000</v>
      </c>
      <c r="H38" s="300">
        <v>2521807.34</v>
      </c>
      <c r="I38" s="301"/>
      <c r="J38" s="302"/>
      <c r="K38" s="18">
        <f t="shared" si="6"/>
        <v>1021807.3399999999</v>
      </c>
      <c r="L38" s="55">
        <f t="shared" si="4"/>
        <v>1021807</v>
      </c>
      <c r="M38" s="18">
        <v>1021807</v>
      </c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8"/>
      <c r="AY38" s="18"/>
      <c r="AZ38" s="18"/>
      <c r="BA38" s="18"/>
      <c r="BB38" s="18"/>
      <c r="BC38" s="18"/>
      <c r="BD38" s="18"/>
    </row>
    <row r="39" spans="1:56" s="19" customFormat="1" x14ac:dyDescent="0.25">
      <c r="A39" s="60"/>
      <c r="B39" s="328"/>
      <c r="C39" s="17" t="s">
        <v>123</v>
      </c>
      <c r="D39" s="50" t="s">
        <v>124</v>
      </c>
      <c r="E39" s="49" t="s">
        <v>180</v>
      </c>
      <c r="F39" s="54">
        <v>756542.2</v>
      </c>
      <c r="G39" s="168">
        <v>0</v>
      </c>
      <c r="H39" s="300">
        <v>756542.2</v>
      </c>
      <c r="I39" s="301"/>
      <c r="J39" s="302"/>
      <c r="K39" s="18">
        <f t="shared" si="6"/>
        <v>756542.2</v>
      </c>
      <c r="L39" s="55">
        <f t="shared" si="4"/>
        <v>756542.2</v>
      </c>
      <c r="M39" s="18">
        <v>756542.2</v>
      </c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  <c r="AY39" s="18"/>
      <c r="AZ39" s="18"/>
      <c r="BA39" s="18"/>
      <c r="BB39" s="18"/>
      <c r="BC39" s="18"/>
      <c r="BD39" s="18"/>
    </row>
    <row r="40" spans="1:56" s="19" customFormat="1" x14ac:dyDescent="0.25">
      <c r="A40" s="60"/>
      <c r="B40" s="329"/>
      <c r="C40" s="17" t="s">
        <v>51</v>
      </c>
      <c r="D40" s="30" t="s">
        <v>50</v>
      </c>
      <c r="E40" s="17" t="s">
        <v>23</v>
      </c>
      <c r="F40" s="18">
        <v>300000</v>
      </c>
      <c r="G40" s="175">
        <f>150000</f>
        <v>150000</v>
      </c>
      <c r="H40" s="300">
        <v>0</v>
      </c>
      <c r="I40" s="301"/>
      <c r="J40" s="302"/>
      <c r="K40" s="18">
        <f t="shared" si="6"/>
        <v>150000</v>
      </c>
      <c r="L40" s="55">
        <f t="shared" si="4"/>
        <v>0</v>
      </c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  <c r="AY40" s="18"/>
      <c r="AZ40" s="18"/>
      <c r="BA40" s="18"/>
      <c r="BB40" s="18"/>
      <c r="BC40" s="18"/>
      <c r="BD40" s="18"/>
    </row>
    <row r="41" spans="1:56" s="19" customFormat="1" x14ac:dyDescent="0.25">
      <c r="A41" s="60"/>
      <c r="B41" s="134" t="s">
        <v>110</v>
      </c>
      <c r="C41" s="61" t="s">
        <v>62</v>
      </c>
      <c r="D41" s="50" t="s">
        <v>93</v>
      </c>
      <c r="E41" s="49" t="s">
        <v>63</v>
      </c>
      <c r="F41" s="54">
        <v>240683.42</v>
      </c>
      <c r="G41" s="168">
        <f>240683.42</f>
        <v>240683.42</v>
      </c>
      <c r="H41" s="369">
        <v>240683.42</v>
      </c>
      <c r="I41" s="370"/>
      <c r="J41" s="371"/>
      <c r="K41" s="18">
        <f t="shared" si="6"/>
        <v>0</v>
      </c>
      <c r="L41" s="55">
        <f t="shared" si="4"/>
        <v>0</v>
      </c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</row>
    <row r="42" spans="1:56" s="19" customFormat="1" x14ac:dyDescent="0.25">
      <c r="A42" s="60"/>
      <c r="B42" s="134" t="s">
        <v>247</v>
      </c>
      <c r="C42" s="61" t="s">
        <v>248</v>
      </c>
      <c r="D42" s="50" t="s">
        <v>249</v>
      </c>
      <c r="E42" s="49"/>
      <c r="F42" s="54">
        <v>113621.08</v>
      </c>
      <c r="G42" s="168">
        <f>113621.08</f>
        <v>113621.08</v>
      </c>
      <c r="H42" s="300">
        <v>113621.08</v>
      </c>
      <c r="I42" s="301"/>
      <c r="J42" s="302"/>
      <c r="K42" s="18">
        <f t="shared" si="6"/>
        <v>0</v>
      </c>
      <c r="L42" s="167">
        <f t="shared" si="4"/>
        <v>0</v>
      </c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  <c r="AX42" s="18"/>
      <c r="AY42" s="18"/>
      <c r="AZ42" s="18"/>
      <c r="BA42" s="18"/>
      <c r="BB42" s="18"/>
      <c r="BC42" s="18"/>
      <c r="BD42" s="18"/>
    </row>
    <row r="43" spans="1:56" s="19" customFormat="1" x14ac:dyDescent="0.25">
      <c r="A43" s="60"/>
      <c r="B43" s="134" t="s">
        <v>66</v>
      </c>
      <c r="C43" s="57" t="s">
        <v>67</v>
      </c>
      <c r="D43" s="50" t="s">
        <v>94</v>
      </c>
      <c r="E43" s="49" t="s">
        <v>131</v>
      </c>
      <c r="F43" s="18">
        <v>1837639.72</v>
      </c>
      <c r="G43" s="172">
        <f>918819.86+918819.86</f>
        <v>1837639.72</v>
      </c>
      <c r="H43" s="300">
        <v>1837639.72</v>
      </c>
      <c r="I43" s="301"/>
      <c r="J43" s="302"/>
      <c r="K43" s="18">
        <f t="shared" si="6"/>
        <v>0</v>
      </c>
      <c r="L43" s="55">
        <f t="shared" si="4"/>
        <v>0</v>
      </c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  <c r="AY43" s="18"/>
      <c r="AZ43" s="18"/>
      <c r="BA43" s="18"/>
      <c r="BB43" s="18"/>
      <c r="BC43" s="18"/>
      <c r="BD43" s="18"/>
    </row>
    <row r="44" spans="1:56" s="19" customFormat="1" x14ac:dyDescent="0.25">
      <c r="A44" s="60"/>
      <c r="B44" s="134" t="s">
        <v>111</v>
      </c>
      <c r="C44" s="68" t="s">
        <v>70</v>
      </c>
      <c r="D44" s="52" t="s">
        <v>95</v>
      </c>
      <c r="E44" s="59" t="s">
        <v>71</v>
      </c>
      <c r="F44" s="54">
        <f>115920*2</f>
        <v>231840</v>
      </c>
      <c r="G44" s="173">
        <f>115920</f>
        <v>115920</v>
      </c>
      <c r="H44" s="369">
        <v>0</v>
      </c>
      <c r="I44" s="370"/>
      <c r="J44" s="371"/>
      <c r="K44" s="18">
        <f t="shared" si="6"/>
        <v>115920</v>
      </c>
      <c r="L44" s="55">
        <f t="shared" si="4"/>
        <v>115920</v>
      </c>
      <c r="M44" s="18">
        <v>115920</v>
      </c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</row>
    <row r="45" spans="1:56" s="19" customFormat="1" x14ac:dyDescent="0.25">
      <c r="A45" s="60"/>
      <c r="B45" s="72" t="s">
        <v>72</v>
      </c>
      <c r="C45" s="69" t="s">
        <v>73</v>
      </c>
      <c r="D45" s="52" t="s">
        <v>96</v>
      </c>
      <c r="E45" s="59" t="s">
        <v>74</v>
      </c>
      <c r="F45" s="54">
        <v>358242.22</v>
      </c>
      <c r="G45" s="168">
        <f>179121.11</f>
        <v>179121.11</v>
      </c>
      <c r="H45" s="300">
        <v>358242.22</v>
      </c>
      <c r="I45" s="301"/>
      <c r="J45" s="302"/>
      <c r="K45" s="18">
        <f t="shared" si="6"/>
        <v>179121.11</v>
      </c>
      <c r="L45" s="55">
        <f t="shared" si="4"/>
        <v>179121</v>
      </c>
      <c r="M45" s="18">
        <v>179121</v>
      </c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  <c r="AY45" s="18"/>
      <c r="AZ45" s="18"/>
      <c r="BA45" s="18"/>
      <c r="BB45" s="18"/>
      <c r="BC45" s="18"/>
      <c r="BD45" s="18"/>
    </row>
    <row r="46" spans="1:56" s="19" customFormat="1" x14ac:dyDescent="0.25">
      <c r="A46" s="60"/>
      <c r="B46" s="72" t="s">
        <v>250</v>
      </c>
      <c r="C46" s="69" t="s">
        <v>251</v>
      </c>
      <c r="D46" s="52" t="s">
        <v>225</v>
      </c>
      <c r="E46" s="59"/>
      <c r="F46" s="54">
        <v>1470</v>
      </c>
      <c r="G46" s="168">
        <v>1470</v>
      </c>
      <c r="H46" s="300">
        <v>1470</v>
      </c>
      <c r="I46" s="301"/>
      <c r="J46" s="302"/>
      <c r="K46" s="18">
        <f t="shared" si="6"/>
        <v>0</v>
      </c>
      <c r="L46" s="167">
        <f t="shared" si="4"/>
        <v>0</v>
      </c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/>
      <c r="AR46" s="18"/>
      <c r="AS46" s="18"/>
      <c r="AT46" s="18"/>
      <c r="AU46" s="18"/>
      <c r="AV46" s="18"/>
      <c r="AW46" s="18"/>
      <c r="AX46" s="18"/>
      <c r="AY46" s="18"/>
      <c r="AZ46" s="18"/>
      <c r="BA46" s="18"/>
      <c r="BB46" s="18"/>
      <c r="BC46" s="18"/>
      <c r="BD46" s="18"/>
    </row>
    <row r="47" spans="1:56" s="19" customFormat="1" x14ac:dyDescent="0.25">
      <c r="A47" s="60"/>
      <c r="B47" s="72" t="s">
        <v>113</v>
      </c>
      <c r="C47" s="69" t="s">
        <v>75</v>
      </c>
      <c r="D47" s="52" t="s">
        <v>97</v>
      </c>
      <c r="E47" s="59" t="s">
        <v>76</v>
      </c>
      <c r="F47" s="18">
        <v>354000</v>
      </c>
      <c r="G47" s="174">
        <f>354000-354000+354000</f>
        <v>354000</v>
      </c>
      <c r="H47" s="300">
        <v>354000</v>
      </c>
      <c r="I47" s="301"/>
      <c r="J47" s="302"/>
      <c r="K47" s="18">
        <f t="shared" si="6"/>
        <v>0</v>
      </c>
      <c r="L47" s="55">
        <f t="shared" si="4"/>
        <v>0</v>
      </c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  <c r="AV47" s="18"/>
      <c r="AW47" s="18"/>
      <c r="AX47" s="18"/>
      <c r="AY47" s="18"/>
      <c r="AZ47" s="18"/>
      <c r="BA47" s="18"/>
      <c r="BB47" s="18"/>
      <c r="BC47" s="18"/>
      <c r="BD47" s="18"/>
    </row>
    <row r="48" spans="1:56" s="19" customFormat="1" x14ac:dyDescent="0.25">
      <c r="A48" s="60"/>
      <c r="B48" s="134" t="s">
        <v>81</v>
      </c>
      <c r="C48" s="57" t="s">
        <v>82</v>
      </c>
      <c r="D48" s="50" t="s">
        <v>92</v>
      </c>
      <c r="E48" s="49" t="s">
        <v>83</v>
      </c>
      <c r="F48" s="54">
        <v>313880</v>
      </c>
      <c r="G48" s="175">
        <f>94164</f>
        <v>94164</v>
      </c>
      <c r="H48" s="300">
        <v>313880</v>
      </c>
      <c r="I48" s="301"/>
      <c r="J48" s="302"/>
      <c r="K48" s="18">
        <f t="shared" si="6"/>
        <v>219716</v>
      </c>
      <c r="L48" s="55">
        <f t="shared" si="4"/>
        <v>219716</v>
      </c>
      <c r="M48" s="18">
        <v>219716</v>
      </c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8"/>
      <c r="AS48" s="18"/>
      <c r="AT48" s="18"/>
      <c r="AU48" s="18"/>
      <c r="AV48" s="18"/>
      <c r="AW48" s="18"/>
      <c r="AX48" s="18"/>
      <c r="AY48" s="18"/>
      <c r="AZ48" s="18"/>
      <c r="BA48" s="18"/>
      <c r="BB48" s="18"/>
      <c r="BC48" s="18"/>
      <c r="BD48" s="18"/>
    </row>
    <row r="49" spans="1:56" s="19" customFormat="1" x14ac:dyDescent="0.25">
      <c r="A49" s="60"/>
      <c r="B49" s="134" t="s">
        <v>253</v>
      </c>
      <c r="C49" s="57" t="s">
        <v>254</v>
      </c>
      <c r="D49" s="50" t="s">
        <v>11</v>
      </c>
      <c r="E49" s="49"/>
      <c r="F49" s="54"/>
      <c r="G49" s="175">
        <v>145.16</v>
      </c>
      <c r="H49" s="369"/>
      <c r="I49" s="370"/>
      <c r="J49" s="371"/>
      <c r="K49" s="18">
        <f t="shared" si="6"/>
        <v>-145.16</v>
      </c>
      <c r="L49" s="167">
        <f t="shared" si="4"/>
        <v>0</v>
      </c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8"/>
      <c r="AO49" s="18"/>
      <c r="AP49" s="18"/>
      <c r="AQ49" s="18"/>
      <c r="AR49" s="18"/>
      <c r="AS49" s="18"/>
      <c r="AT49" s="18"/>
      <c r="AU49" s="18"/>
      <c r="AV49" s="18"/>
      <c r="AW49" s="18"/>
      <c r="AX49" s="18"/>
      <c r="AY49" s="18"/>
      <c r="AZ49" s="18"/>
      <c r="BA49" s="18"/>
      <c r="BB49" s="18"/>
      <c r="BC49" s="18"/>
      <c r="BD49" s="18"/>
    </row>
    <row r="50" spans="1:56" s="19" customFormat="1" x14ac:dyDescent="0.25">
      <c r="A50" s="60"/>
      <c r="B50" s="134" t="s">
        <v>59</v>
      </c>
      <c r="C50" s="57" t="s">
        <v>155</v>
      </c>
      <c r="D50" s="50" t="s">
        <v>156</v>
      </c>
      <c r="E50" s="49" t="s">
        <v>60</v>
      </c>
      <c r="F50" s="54">
        <v>56640</v>
      </c>
      <c r="G50" s="175">
        <v>56640</v>
      </c>
      <c r="H50" s="300">
        <v>0</v>
      </c>
      <c r="I50" s="301"/>
      <c r="J50" s="302"/>
      <c r="K50" s="18">
        <f>F50-G50</f>
        <v>0</v>
      </c>
      <c r="L50" s="55">
        <f t="shared" si="4"/>
        <v>0</v>
      </c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8"/>
      <c r="AV50" s="18"/>
      <c r="AW50" s="18"/>
      <c r="AX50" s="18"/>
      <c r="AY50" s="18"/>
      <c r="AZ50" s="18"/>
      <c r="BA50" s="18"/>
      <c r="BB50" s="18"/>
      <c r="BC50" s="18"/>
      <c r="BD50" s="18"/>
    </row>
    <row r="51" spans="1:56" s="19" customFormat="1" x14ac:dyDescent="0.25">
      <c r="A51" s="60"/>
      <c r="B51" s="135" t="s">
        <v>136</v>
      </c>
      <c r="C51" s="35" t="s">
        <v>137</v>
      </c>
      <c r="D51" s="30" t="s">
        <v>138</v>
      </c>
      <c r="E51" s="17" t="s">
        <v>139</v>
      </c>
      <c r="F51" s="18">
        <v>2449859</v>
      </c>
      <c r="G51" s="169">
        <v>0</v>
      </c>
      <c r="H51" s="300">
        <v>0</v>
      </c>
      <c r="I51" s="301"/>
      <c r="J51" s="302"/>
      <c r="K51" s="18">
        <f>F51-G51</f>
        <v>2449859</v>
      </c>
      <c r="L51" s="55">
        <f>SUM(M51:BD51)</f>
        <v>2449859</v>
      </c>
      <c r="M51" s="18">
        <v>734957.7</v>
      </c>
      <c r="N51" s="18"/>
      <c r="O51" s="18">
        <v>734957.7</v>
      </c>
      <c r="P51" s="18"/>
      <c r="Q51" s="18">
        <v>979943.6</v>
      </c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8"/>
      <c r="AW51" s="18"/>
      <c r="AX51" s="18"/>
      <c r="AY51" s="18"/>
      <c r="AZ51" s="18"/>
      <c r="BA51" s="18"/>
      <c r="BB51" s="18"/>
      <c r="BC51" s="18"/>
      <c r="BD51" s="18"/>
    </row>
    <row r="52" spans="1:56" s="44" customFormat="1" ht="15" customHeight="1" x14ac:dyDescent="0.25">
      <c r="A52" s="45"/>
      <c r="B52" s="47" t="s">
        <v>100</v>
      </c>
      <c r="C52" s="41"/>
      <c r="D52" s="42"/>
      <c r="E52" s="40" t="s">
        <v>98</v>
      </c>
      <c r="F52" s="43"/>
      <c r="G52" s="43"/>
      <c r="H52" s="309"/>
      <c r="I52" s="310"/>
      <c r="J52" s="311"/>
      <c r="K52" s="43">
        <f>F52-G52</f>
        <v>0</v>
      </c>
      <c r="L52" s="76">
        <f>SUM(M52:BD52)</f>
        <v>0</v>
      </c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3"/>
      <c r="AF52" s="43"/>
      <c r="AG52" s="43"/>
      <c r="AH52" s="43"/>
      <c r="AI52" s="43"/>
      <c r="AJ52" s="43"/>
      <c r="AK52" s="43"/>
      <c r="AL52" s="43"/>
      <c r="AM52" s="43"/>
      <c r="AN52" s="43"/>
      <c r="AO52" s="43"/>
      <c r="AP52" s="43"/>
      <c r="AQ52" s="43"/>
      <c r="AR52" s="43"/>
      <c r="AS52" s="43"/>
      <c r="AT52" s="43"/>
      <c r="AU52" s="43"/>
      <c r="AV52" s="43"/>
      <c r="AW52" s="43"/>
      <c r="AX52" s="43"/>
      <c r="AY52" s="43"/>
      <c r="AZ52" s="43"/>
      <c r="BA52" s="43"/>
      <c r="BB52" s="43"/>
      <c r="BC52" s="43"/>
      <c r="BD52" s="43"/>
    </row>
    <row r="53" spans="1:56" s="44" customFormat="1" ht="15" customHeight="1" x14ac:dyDescent="0.25">
      <c r="A53" s="45"/>
      <c r="B53" s="47" t="s">
        <v>100</v>
      </c>
      <c r="C53" s="41"/>
      <c r="D53" s="42"/>
      <c r="E53" s="40" t="s">
        <v>99</v>
      </c>
      <c r="F53" s="43"/>
      <c r="G53" s="43"/>
      <c r="H53" s="312"/>
      <c r="I53" s="313"/>
      <c r="J53" s="314"/>
      <c r="K53" s="43">
        <f>F53-G53</f>
        <v>0</v>
      </c>
      <c r="L53" s="76">
        <f>SUM(M53:BD53)</f>
        <v>0</v>
      </c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  <c r="AA53" s="43"/>
      <c r="AB53" s="43"/>
      <c r="AC53" s="43"/>
      <c r="AD53" s="43"/>
      <c r="AE53" s="43"/>
      <c r="AF53" s="43"/>
      <c r="AG53" s="43"/>
      <c r="AH53" s="43"/>
      <c r="AI53" s="43"/>
      <c r="AJ53" s="43"/>
      <c r="AK53" s="43"/>
      <c r="AL53" s="43"/>
      <c r="AM53" s="43"/>
      <c r="AN53" s="43"/>
      <c r="AO53" s="43"/>
      <c r="AP53" s="43"/>
      <c r="AQ53" s="43"/>
      <c r="AR53" s="43"/>
      <c r="AS53" s="43"/>
      <c r="AT53" s="43"/>
      <c r="AU53" s="43"/>
      <c r="AV53" s="43"/>
      <c r="AW53" s="43"/>
      <c r="AX53" s="43"/>
      <c r="AY53" s="43"/>
      <c r="AZ53" s="43"/>
      <c r="BA53" s="43"/>
      <c r="BB53" s="43"/>
      <c r="BC53" s="43"/>
      <c r="BD53" s="43"/>
    </row>
    <row r="54" spans="1:56" s="44" customFormat="1" ht="15" customHeight="1" x14ac:dyDescent="0.25">
      <c r="A54" s="45"/>
      <c r="B54" s="47" t="s">
        <v>181</v>
      </c>
      <c r="C54" s="41"/>
      <c r="D54" s="42"/>
      <c r="E54" s="40" t="s">
        <v>182</v>
      </c>
      <c r="F54" s="43">
        <v>1620000</v>
      </c>
      <c r="G54" s="43"/>
      <c r="H54" s="312"/>
      <c r="I54" s="313"/>
      <c r="J54" s="314"/>
      <c r="K54" s="43">
        <f t="shared" si="6"/>
        <v>1620000</v>
      </c>
      <c r="L54" s="76">
        <f t="shared" si="4"/>
        <v>810000</v>
      </c>
      <c r="M54" s="43"/>
      <c r="N54" s="43">
        <v>810000</v>
      </c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3"/>
      <c r="Z54" s="43"/>
      <c r="AA54" s="43"/>
      <c r="AB54" s="43"/>
      <c r="AC54" s="43"/>
      <c r="AD54" s="43"/>
      <c r="AE54" s="43"/>
      <c r="AF54" s="43"/>
      <c r="AG54" s="43"/>
      <c r="AH54" s="43"/>
      <c r="AI54" s="43"/>
      <c r="AJ54" s="43"/>
      <c r="AK54" s="43"/>
      <c r="AL54" s="43"/>
      <c r="AM54" s="43"/>
      <c r="AN54" s="43"/>
      <c r="AO54" s="43"/>
      <c r="AP54" s="43"/>
      <c r="AQ54" s="43"/>
      <c r="AR54" s="43"/>
      <c r="AS54" s="43"/>
      <c r="AT54" s="43"/>
      <c r="AU54" s="43"/>
      <c r="AV54" s="43"/>
      <c r="AW54" s="43"/>
      <c r="AX54" s="43"/>
      <c r="AY54" s="43"/>
      <c r="AZ54" s="43"/>
      <c r="BA54" s="43"/>
      <c r="BB54" s="43"/>
      <c r="BC54" s="43"/>
      <c r="BD54" s="43"/>
    </row>
    <row r="55" spans="1:56" s="44" customFormat="1" ht="15" customHeight="1" x14ac:dyDescent="0.25">
      <c r="A55" s="45"/>
      <c r="B55" s="47" t="s">
        <v>15</v>
      </c>
      <c r="C55" s="41"/>
      <c r="D55" s="42"/>
      <c r="E55" s="40" t="s">
        <v>101</v>
      </c>
      <c r="F55" s="43">
        <v>18000000</v>
      </c>
      <c r="G55" s="43"/>
      <c r="H55" s="312"/>
      <c r="I55" s="313"/>
      <c r="J55" s="314"/>
      <c r="K55" s="43">
        <f t="shared" si="6"/>
        <v>18000000</v>
      </c>
      <c r="L55" s="76">
        <f t="shared" si="4"/>
        <v>18000000</v>
      </c>
      <c r="M55" s="43"/>
      <c r="N55" s="43"/>
      <c r="O55" s="43"/>
      <c r="P55" s="43"/>
      <c r="Q55" s="43"/>
      <c r="R55" s="43"/>
      <c r="S55" s="43"/>
      <c r="T55" s="43"/>
      <c r="U55" s="43"/>
      <c r="V55" s="43"/>
      <c r="W55" s="43"/>
      <c r="X55" s="43"/>
      <c r="Y55" s="43"/>
      <c r="Z55" s="43"/>
      <c r="AA55" s="43"/>
      <c r="AB55" s="43"/>
      <c r="AC55" s="43">
        <v>3000000</v>
      </c>
      <c r="AD55" s="43"/>
      <c r="AE55" s="43">
        <v>3000000</v>
      </c>
      <c r="AF55" s="43"/>
      <c r="AG55" s="43">
        <v>3000000</v>
      </c>
      <c r="AH55" s="43"/>
      <c r="AI55" s="43">
        <v>3000000</v>
      </c>
      <c r="AJ55" s="43"/>
      <c r="AK55" s="43">
        <v>3000000</v>
      </c>
      <c r="AL55" s="43"/>
      <c r="AM55" s="43">
        <v>3000000</v>
      </c>
      <c r="AN55" s="43"/>
      <c r="AO55" s="43"/>
      <c r="AP55" s="43"/>
      <c r="AQ55" s="43"/>
      <c r="AR55" s="43"/>
      <c r="AS55" s="43"/>
      <c r="AT55" s="43"/>
      <c r="AU55" s="43"/>
      <c r="AV55" s="43"/>
      <c r="AW55" s="43"/>
      <c r="AX55" s="43"/>
      <c r="AY55" s="43"/>
      <c r="AZ55" s="43"/>
      <c r="BA55" s="43"/>
      <c r="BB55" s="43"/>
      <c r="BC55" s="43"/>
      <c r="BD55" s="43"/>
    </row>
    <row r="56" spans="1:56" s="44" customFormat="1" ht="15" customHeight="1" x14ac:dyDescent="0.25">
      <c r="A56" s="46"/>
      <c r="B56" s="47" t="s">
        <v>100</v>
      </c>
      <c r="C56" s="43"/>
      <c r="D56" s="40"/>
      <c r="E56" s="40"/>
      <c r="F56" s="40"/>
      <c r="G56" s="43"/>
      <c r="H56" s="391"/>
      <c r="I56" s="391"/>
      <c r="J56" s="391"/>
      <c r="K56" s="43">
        <f t="shared" si="6"/>
        <v>0</v>
      </c>
      <c r="L56" s="76">
        <f t="shared" si="4"/>
        <v>0</v>
      </c>
      <c r="M56" s="43"/>
      <c r="N56" s="43"/>
      <c r="O56" s="43"/>
      <c r="P56" s="43"/>
      <c r="Q56" s="43"/>
      <c r="R56" s="43"/>
      <c r="S56" s="43"/>
      <c r="T56" s="43"/>
      <c r="U56" s="43"/>
      <c r="V56" s="43"/>
      <c r="W56" s="43"/>
      <c r="X56" s="43"/>
      <c r="Y56" s="43"/>
      <c r="Z56" s="43"/>
      <c r="AA56" s="43"/>
      <c r="AB56" s="43"/>
      <c r="AC56" s="43"/>
      <c r="AD56" s="43"/>
      <c r="AE56" s="43"/>
      <c r="AF56" s="43"/>
      <c r="AG56" s="43"/>
      <c r="AH56" s="43"/>
      <c r="AI56" s="43"/>
      <c r="AJ56" s="43"/>
      <c r="AK56" s="43"/>
      <c r="AL56" s="43"/>
      <c r="AM56" s="43"/>
      <c r="AN56" s="43"/>
      <c r="AO56" s="43"/>
      <c r="AP56" s="43"/>
      <c r="AQ56" s="43"/>
      <c r="AR56" s="43"/>
      <c r="AS56" s="43"/>
      <c r="AT56" s="43"/>
      <c r="AU56" s="43"/>
      <c r="AV56" s="43"/>
      <c r="AW56" s="43"/>
      <c r="AX56" s="43"/>
      <c r="AY56" s="43"/>
      <c r="AZ56" s="43"/>
      <c r="BA56" s="43"/>
      <c r="BB56" s="43"/>
      <c r="BC56" s="43"/>
      <c r="BD56" s="43"/>
    </row>
    <row r="57" spans="1:56" s="26" customFormat="1" ht="15" x14ac:dyDescent="0.25">
      <c r="A57" s="39" t="s">
        <v>199</v>
      </c>
      <c r="B57" s="13"/>
      <c r="C57" s="203">
        <f>C58+C72+C100+C125+C130+C139+C143+C147+C155+C158</f>
        <v>5851000000</v>
      </c>
      <c r="D57" s="203">
        <f>G57+L57-L93-L98-L108-L121-L128-L137-L145-L153</f>
        <v>5850167133.54</v>
      </c>
      <c r="E57" s="194">
        <f>C57-D57</f>
        <v>832866.46000003815</v>
      </c>
      <c r="F57" s="20">
        <f>SUM(F58:F160)</f>
        <v>8664175313.3600006</v>
      </c>
      <c r="G57" s="20">
        <f>SUM(G58:G160)</f>
        <v>136613633.97999999</v>
      </c>
      <c r="H57" s="382"/>
      <c r="I57" s="383"/>
      <c r="J57" s="384"/>
      <c r="K57" s="20">
        <f t="shared" si="6"/>
        <v>8527561679.3800011</v>
      </c>
      <c r="L57" s="75">
        <f t="shared" ref="L57:L71" si="7">SUM(M57:BD57)</f>
        <v>3070526795.5599999</v>
      </c>
      <c r="M57" s="20">
        <f t="shared" ref="M57:BD57" si="8">SUM(M58:M160)</f>
        <v>26483548.950000003</v>
      </c>
      <c r="N57" s="20">
        <f t="shared" si="8"/>
        <v>63082521.159999996</v>
      </c>
      <c r="O57" s="20">
        <f t="shared" si="8"/>
        <v>62140987.25</v>
      </c>
      <c r="P57" s="20">
        <f t="shared" si="8"/>
        <v>62976828</v>
      </c>
      <c r="Q57" s="20">
        <f t="shared" si="8"/>
        <v>82344215.849999994</v>
      </c>
      <c r="R57" s="20">
        <f t="shared" si="8"/>
        <v>140193528</v>
      </c>
      <c r="S57" s="20">
        <f t="shared" si="8"/>
        <v>154868528</v>
      </c>
      <c r="T57" s="20">
        <f t="shared" si="8"/>
        <v>144975039</v>
      </c>
      <c r="U57" s="20">
        <f t="shared" si="8"/>
        <v>161609528</v>
      </c>
      <c r="V57" s="20">
        <f t="shared" si="8"/>
        <v>181545378</v>
      </c>
      <c r="W57" s="20">
        <f t="shared" si="8"/>
        <v>30571440.350000001</v>
      </c>
      <c r="X57" s="20">
        <f t="shared" si="8"/>
        <v>92993528</v>
      </c>
      <c r="Y57" s="20">
        <f t="shared" si="8"/>
        <v>106118528</v>
      </c>
      <c r="Z57" s="20">
        <f t="shared" si="8"/>
        <v>-51934775</v>
      </c>
      <c r="AA57" s="20">
        <f t="shared" si="8"/>
        <v>191635528</v>
      </c>
      <c r="AB57" s="20">
        <f t="shared" si="8"/>
        <v>204760528</v>
      </c>
      <c r="AC57" s="20">
        <f t="shared" si="8"/>
        <v>-14213905</v>
      </c>
      <c r="AD57" s="20">
        <f t="shared" si="8"/>
        <v>129039528</v>
      </c>
      <c r="AE57" s="20">
        <f t="shared" si="8"/>
        <v>147164528</v>
      </c>
      <c r="AF57" s="20">
        <f t="shared" si="8"/>
        <v>-6113905</v>
      </c>
      <c r="AG57" s="20">
        <f t="shared" si="8"/>
        <v>154539528</v>
      </c>
      <c r="AH57" s="20">
        <f t="shared" si="8"/>
        <v>222564528</v>
      </c>
      <c r="AI57" s="20">
        <f t="shared" si="8"/>
        <v>63728390</v>
      </c>
      <c r="AJ57" s="20">
        <f t="shared" si="8"/>
        <v>145289528</v>
      </c>
      <c r="AK57" s="20">
        <f t="shared" si="8"/>
        <v>119072528</v>
      </c>
      <c r="AL57" s="20">
        <f t="shared" si="8"/>
        <v>-5142462</v>
      </c>
      <c r="AM57" s="20">
        <f t="shared" si="8"/>
        <v>101447528</v>
      </c>
      <c r="AN57" s="20">
        <f t="shared" si="8"/>
        <v>111572528</v>
      </c>
      <c r="AO57" s="20">
        <f t="shared" si="8"/>
        <v>-30642462</v>
      </c>
      <c r="AP57" s="20">
        <f t="shared" si="8"/>
        <v>79947528</v>
      </c>
      <c r="AQ57" s="20">
        <f t="shared" si="8"/>
        <v>110947528</v>
      </c>
      <c r="AR57" s="20">
        <f t="shared" si="8"/>
        <v>-22779132</v>
      </c>
      <c r="AS57" s="20">
        <f t="shared" si="8"/>
        <v>69947528</v>
      </c>
      <c r="AT57" s="20">
        <f t="shared" si="8"/>
        <v>39947528</v>
      </c>
      <c r="AU57" s="20">
        <f t="shared" si="8"/>
        <v>11697528</v>
      </c>
      <c r="AV57" s="20">
        <f t="shared" si="8"/>
        <v>4147528</v>
      </c>
      <c r="AW57" s="20">
        <f t="shared" si="8"/>
        <v>4000000</v>
      </c>
      <c r="AX57" s="20">
        <f t="shared" si="8"/>
        <v>-8000000</v>
      </c>
      <c r="AY57" s="20">
        <f t="shared" si="8"/>
        <v>4000000</v>
      </c>
      <c r="AZ57" s="20">
        <f t="shared" si="8"/>
        <v>4000000</v>
      </c>
      <c r="BA57" s="20">
        <f t="shared" si="8"/>
        <v>-8000000</v>
      </c>
      <c r="BB57" s="20">
        <f t="shared" si="8"/>
        <v>0</v>
      </c>
      <c r="BC57" s="20">
        <f t="shared" si="8"/>
        <v>0</v>
      </c>
      <c r="BD57" s="20">
        <f t="shared" si="8"/>
        <v>-12000000</v>
      </c>
    </row>
    <row r="58" spans="1:56" s="21" customFormat="1" ht="15.75" customHeight="1" x14ac:dyDescent="0.25">
      <c r="A58" s="64" t="s">
        <v>200</v>
      </c>
      <c r="B58" s="22"/>
      <c r="C58" s="54">
        <v>223500000</v>
      </c>
      <c r="D58" s="207"/>
      <c r="E58" s="107"/>
      <c r="F58" s="23"/>
      <c r="G58" s="24"/>
      <c r="H58" s="375"/>
      <c r="I58" s="376"/>
      <c r="J58" s="377"/>
      <c r="K58" s="18">
        <f t="shared" si="6"/>
        <v>0</v>
      </c>
      <c r="L58" s="55">
        <f t="shared" si="7"/>
        <v>0</v>
      </c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  <c r="AY58" s="23"/>
      <c r="AZ58" s="23"/>
      <c r="BA58" s="23"/>
      <c r="BB58" s="23"/>
      <c r="BC58" s="23"/>
      <c r="BD58" s="23"/>
    </row>
    <row r="59" spans="1:56" s="19" customFormat="1" collapsed="1" x14ac:dyDescent="0.25">
      <c r="A59" s="56"/>
      <c r="B59" s="70" t="s">
        <v>117</v>
      </c>
      <c r="C59" s="58" t="s">
        <v>77</v>
      </c>
      <c r="D59" s="52" t="s">
        <v>43</v>
      </c>
      <c r="E59" s="59" t="s">
        <v>78</v>
      </c>
      <c r="F59" s="18">
        <v>14800000</v>
      </c>
      <c r="G59" s="174">
        <f>5000000+5360000</f>
        <v>10360000</v>
      </c>
      <c r="H59" s="300">
        <v>0</v>
      </c>
      <c r="I59" s="301"/>
      <c r="J59" s="302"/>
      <c r="K59" s="18">
        <f>F59-G59</f>
        <v>4440000</v>
      </c>
      <c r="L59" s="55">
        <f t="shared" si="7"/>
        <v>4440000</v>
      </c>
      <c r="M59" s="18"/>
      <c r="N59" s="18"/>
      <c r="O59" s="18"/>
      <c r="P59" s="18">
        <v>4440000</v>
      </c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  <c r="AY59" s="18"/>
      <c r="AZ59" s="18"/>
      <c r="BA59" s="18"/>
      <c r="BB59" s="18"/>
      <c r="BC59" s="18"/>
      <c r="BD59" s="18"/>
    </row>
    <row r="60" spans="1:56" s="19" customFormat="1" x14ac:dyDescent="0.25">
      <c r="A60" s="60"/>
      <c r="B60" s="385" t="s">
        <v>114</v>
      </c>
      <c r="C60" s="51"/>
      <c r="D60" s="50" t="s">
        <v>88</v>
      </c>
      <c r="E60" s="49" t="s">
        <v>64</v>
      </c>
      <c r="F60" s="54">
        <f>9139500</f>
        <v>9139500</v>
      </c>
      <c r="G60" s="62">
        <f>853914.62</f>
        <v>853914.62</v>
      </c>
      <c r="H60" s="369">
        <v>0</v>
      </c>
      <c r="I60" s="370"/>
      <c r="J60" s="371"/>
      <c r="K60" s="18">
        <f>F60-G60</f>
        <v>8285585.3799999999</v>
      </c>
      <c r="L60" s="55">
        <f t="shared" si="7"/>
        <v>0</v>
      </c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  <c r="AV60" s="18"/>
      <c r="AW60" s="18"/>
      <c r="AX60" s="18"/>
      <c r="AY60" s="18"/>
      <c r="AZ60" s="18"/>
      <c r="BA60" s="18"/>
      <c r="BB60" s="18"/>
      <c r="BC60" s="18"/>
      <c r="BD60" s="18"/>
    </row>
    <row r="61" spans="1:56" s="19" customFormat="1" x14ac:dyDescent="0.25">
      <c r="A61" s="60"/>
      <c r="B61" s="386"/>
      <c r="C61" s="51">
        <v>3</v>
      </c>
      <c r="D61" s="50" t="s">
        <v>44</v>
      </c>
      <c r="E61" s="49" t="s">
        <v>65</v>
      </c>
      <c r="F61" s="54">
        <v>2843048.72</v>
      </c>
      <c r="G61" s="168">
        <f>853914.62+2140726.23</f>
        <v>2994640.85</v>
      </c>
      <c r="H61" s="300">
        <v>2994640.85</v>
      </c>
      <c r="I61" s="301"/>
      <c r="J61" s="302"/>
      <c r="K61" s="18">
        <f>F61-G61</f>
        <v>-151592.12999999989</v>
      </c>
      <c r="L61" s="55">
        <f t="shared" si="7"/>
        <v>0</v>
      </c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  <c r="AY61" s="18"/>
      <c r="AZ61" s="18"/>
      <c r="BA61" s="18"/>
      <c r="BB61" s="18"/>
      <c r="BC61" s="18"/>
      <c r="BD61" s="18"/>
    </row>
    <row r="62" spans="1:56" s="19" customFormat="1" x14ac:dyDescent="0.25">
      <c r="A62" s="60"/>
      <c r="B62" s="387"/>
      <c r="C62" s="51" t="s">
        <v>115</v>
      </c>
      <c r="D62" s="50" t="s">
        <v>52</v>
      </c>
      <c r="E62" s="49" t="s">
        <v>116</v>
      </c>
      <c r="F62" s="54">
        <v>151592.13</v>
      </c>
      <c r="G62" s="62">
        <v>0</v>
      </c>
      <c r="H62" s="369">
        <v>0</v>
      </c>
      <c r="I62" s="370"/>
      <c r="J62" s="371"/>
      <c r="K62" s="18"/>
      <c r="L62" s="55">
        <f t="shared" si="7"/>
        <v>0</v>
      </c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  <c r="AO62" s="18"/>
      <c r="AP62" s="18"/>
      <c r="AQ62" s="18"/>
      <c r="AR62" s="18"/>
      <c r="AS62" s="18"/>
      <c r="AT62" s="18"/>
      <c r="AU62" s="18"/>
      <c r="AV62" s="18"/>
      <c r="AW62" s="18"/>
      <c r="AX62" s="18"/>
      <c r="AY62" s="18"/>
      <c r="AZ62" s="18"/>
      <c r="BA62" s="18"/>
      <c r="BB62" s="18"/>
      <c r="BC62" s="18"/>
      <c r="BD62" s="18"/>
    </row>
    <row r="63" spans="1:56" s="19" customFormat="1" x14ac:dyDescent="0.25">
      <c r="A63" s="60"/>
      <c r="B63" s="71" t="s">
        <v>112</v>
      </c>
      <c r="C63" s="63" t="s">
        <v>68</v>
      </c>
      <c r="D63" s="52" t="s">
        <v>89</v>
      </c>
      <c r="E63" s="59" t="s">
        <v>69</v>
      </c>
      <c r="F63" s="18">
        <v>276359.53999999998</v>
      </c>
      <c r="G63" s="173">
        <f>276359.54</f>
        <v>276359.53999999998</v>
      </c>
      <c r="H63" s="300">
        <v>276359.53999999998</v>
      </c>
      <c r="I63" s="301"/>
      <c r="J63" s="302"/>
      <c r="K63" s="18">
        <f>F63-G63</f>
        <v>0</v>
      </c>
      <c r="L63" s="55">
        <f t="shared" si="7"/>
        <v>0</v>
      </c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  <c r="AO63" s="18"/>
      <c r="AP63" s="18"/>
      <c r="AQ63" s="18"/>
      <c r="AR63" s="18"/>
      <c r="AS63" s="18"/>
      <c r="AT63" s="18"/>
      <c r="AU63" s="18"/>
      <c r="AV63" s="18"/>
      <c r="AW63" s="18"/>
      <c r="AX63" s="18"/>
      <c r="AY63" s="18"/>
      <c r="AZ63" s="18"/>
      <c r="BA63" s="18"/>
      <c r="BB63" s="18"/>
      <c r="BC63" s="18"/>
      <c r="BD63" s="18"/>
    </row>
    <row r="64" spans="1:56" s="19" customFormat="1" x14ac:dyDescent="0.25">
      <c r="A64" s="60"/>
      <c r="B64" s="344" t="s">
        <v>7</v>
      </c>
      <c r="C64" s="53" t="s">
        <v>80</v>
      </c>
      <c r="D64" s="50" t="s">
        <v>90</v>
      </c>
      <c r="E64" s="49" t="s">
        <v>135</v>
      </c>
      <c r="F64" s="54">
        <v>700000</v>
      </c>
      <c r="G64" s="174">
        <f>350000+350000</f>
        <v>700000</v>
      </c>
      <c r="H64" s="388">
        <v>700000</v>
      </c>
      <c r="I64" s="389"/>
      <c r="J64" s="390"/>
      <c r="K64" s="18">
        <f>F64-G64</f>
        <v>0</v>
      </c>
      <c r="L64" s="55">
        <f t="shared" si="7"/>
        <v>350000</v>
      </c>
      <c r="M64" s="18">
        <v>350000</v>
      </c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/>
      <c r="AO64" s="18"/>
      <c r="AP64" s="18"/>
      <c r="AQ64" s="18"/>
      <c r="AR64" s="18"/>
      <c r="AS64" s="18"/>
      <c r="AT64" s="18"/>
      <c r="AU64" s="18"/>
      <c r="AV64" s="18"/>
      <c r="AW64" s="18"/>
      <c r="AX64" s="18"/>
      <c r="AY64" s="18"/>
      <c r="AZ64" s="18"/>
      <c r="BA64" s="18"/>
      <c r="BB64" s="18"/>
      <c r="BC64" s="18"/>
      <c r="BD64" s="18"/>
    </row>
    <row r="65" spans="1:56" s="19" customFormat="1" ht="14.25" customHeight="1" x14ac:dyDescent="0.25">
      <c r="A65" s="60"/>
      <c r="B65" s="345"/>
      <c r="C65" s="58" t="s">
        <v>132</v>
      </c>
      <c r="D65" s="52" t="s">
        <v>133</v>
      </c>
      <c r="E65" s="59" t="s">
        <v>134</v>
      </c>
      <c r="F65" s="54">
        <v>162465.96</v>
      </c>
      <c r="G65" s="169">
        <v>0</v>
      </c>
      <c r="H65" s="372">
        <v>162465.96</v>
      </c>
      <c r="I65" s="373"/>
      <c r="J65" s="374"/>
      <c r="K65" s="18">
        <f>F65-G65</f>
        <v>162465.96</v>
      </c>
      <c r="L65" s="55">
        <f>SUM(M65:BD65)</f>
        <v>162465.96</v>
      </c>
      <c r="M65" s="18">
        <v>81232.98</v>
      </c>
      <c r="N65" s="18">
        <v>81232.98</v>
      </c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18"/>
      <c r="AN65" s="18"/>
      <c r="AO65" s="18"/>
      <c r="AP65" s="18"/>
      <c r="AQ65" s="18"/>
      <c r="AR65" s="18"/>
      <c r="AS65" s="18"/>
      <c r="AT65" s="18"/>
      <c r="AU65" s="18"/>
      <c r="AV65" s="18"/>
      <c r="AW65" s="18"/>
      <c r="AX65" s="18"/>
      <c r="AY65" s="18"/>
      <c r="AZ65" s="18"/>
      <c r="BA65" s="18"/>
      <c r="BB65" s="18"/>
      <c r="BC65" s="18"/>
      <c r="BD65" s="18"/>
    </row>
    <row r="66" spans="1:56" s="19" customFormat="1" x14ac:dyDescent="0.25">
      <c r="A66" s="60"/>
      <c r="B66" s="72" t="s">
        <v>127</v>
      </c>
      <c r="C66" s="58" t="s">
        <v>255</v>
      </c>
      <c r="D66" s="52" t="s">
        <v>52</v>
      </c>
      <c r="E66" s="59" t="s">
        <v>128</v>
      </c>
      <c r="F66" s="54">
        <v>37646.120000000003</v>
      </c>
      <c r="G66" s="169">
        <v>37646.120000000003</v>
      </c>
      <c r="H66" s="335">
        <v>0</v>
      </c>
      <c r="I66" s="336"/>
      <c r="J66" s="337"/>
      <c r="K66" s="18">
        <f>F66-G66</f>
        <v>0</v>
      </c>
      <c r="L66" s="55">
        <f t="shared" si="7"/>
        <v>0</v>
      </c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  <c r="AO66" s="18"/>
      <c r="AP66" s="18"/>
      <c r="AQ66" s="18"/>
      <c r="AR66" s="18"/>
      <c r="AS66" s="18"/>
      <c r="AT66" s="18"/>
      <c r="AU66" s="18"/>
      <c r="AV66" s="18"/>
      <c r="AW66" s="18"/>
      <c r="AX66" s="18"/>
      <c r="AY66" s="18"/>
      <c r="AZ66" s="18"/>
      <c r="BA66" s="18"/>
      <c r="BB66" s="18"/>
      <c r="BC66" s="18"/>
      <c r="BD66" s="18"/>
    </row>
    <row r="67" spans="1:56" s="108" customFormat="1" ht="15" customHeight="1" x14ac:dyDescent="0.25">
      <c r="A67" s="103"/>
      <c r="B67" s="104" t="s">
        <v>8</v>
      </c>
      <c r="C67" s="58" t="s">
        <v>160</v>
      </c>
      <c r="D67" s="105" t="s">
        <v>55</v>
      </c>
      <c r="E67" s="66" t="s">
        <v>5</v>
      </c>
      <c r="F67" s="106">
        <v>463500</v>
      </c>
      <c r="G67" s="180">
        <v>0</v>
      </c>
      <c r="H67" s="318">
        <v>0</v>
      </c>
      <c r="I67" s="319"/>
      <c r="J67" s="320"/>
      <c r="K67" s="18">
        <f>F67-G67</f>
        <v>463500</v>
      </c>
      <c r="L67" s="107">
        <f>SUM(M67:BD67)</f>
        <v>463500</v>
      </c>
      <c r="M67" s="106">
        <v>463500</v>
      </c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6"/>
      <c r="Z67" s="106"/>
      <c r="AA67" s="106"/>
      <c r="AB67" s="106"/>
      <c r="AC67" s="106"/>
      <c r="AD67" s="106"/>
      <c r="AE67" s="106"/>
      <c r="AF67" s="106"/>
      <c r="AG67" s="106"/>
      <c r="AH67" s="106"/>
      <c r="AI67" s="106"/>
      <c r="AJ67" s="106"/>
      <c r="AK67" s="106"/>
      <c r="AL67" s="106"/>
      <c r="AM67" s="106"/>
      <c r="AN67" s="106"/>
      <c r="AO67" s="106"/>
      <c r="AP67" s="106"/>
      <c r="AQ67" s="106"/>
      <c r="AR67" s="106"/>
      <c r="AS67" s="106"/>
      <c r="AT67" s="106"/>
      <c r="AU67" s="106"/>
      <c r="AV67" s="106"/>
      <c r="AW67" s="106"/>
      <c r="AX67" s="106"/>
      <c r="AY67" s="106"/>
      <c r="AZ67" s="106"/>
      <c r="BA67" s="106"/>
      <c r="BB67" s="106"/>
      <c r="BC67" s="106"/>
      <c r="BD67" s="106"/>
    </row>
    <row r="68" spans="1:56" s="44" customFormat="1" ht="15" customHeight="1" x14ac:dyDescent="0.25">
      <c r="A68" s="45"/>
      <c r="B68" s="47" t="s">
        <v>7</v>
      </c>
      <c r="C68" s="41"/>
      <c r="D68" s="42"/>
      <c r="E68" s="40" t="s">
        <v>58</v>
      </c>
      <c r="F68" s="43">
        <v>10416820</v>
      </c>
      <c r="G68" s="43" t="s">
        <v>57</v>
      </c>
      <c r="H68" s="338"/>
      <c r="I68" s="339"/>
      <c r="J68" s="340"/>
      <c r="K68" s="18"/>
      <c r="L68" s="76">
        <f t="shared" si="7"/>
        <v>10416820</v>
      </c>
      <c r="M68" s="43"/>
      <c r="N68" s="40"/>
      <c r="O68" s="43">
        <f>F68/2</f>
        <v>5208410</v>
      </c>
      <c r="P68" s="43"/>
      <c r="Q68" s="43">
        <f>F68/2</f>
        <v>5208410</v>
      </c>
      <c r="R68" s="43"/>
      <c r="S68" s="43"/>
      <c r="T68" s="43"/>
      <c r="U68" s="43"/>
      <c r="V68" s="43"/>
      <c r="W68" s="43"/>
      <c r="X68" s="43"/>
      <c r="Y68" s="43"/>
      <c r="Z68" s="43"/>
      <c r="AA68" s="43"/>
      <c r="AB68" s="43"/>
      <c r="AC68" s="43"/>
      <c r="AD68" s="43"/>
      <c r="AE68" s="43"/>
      <c r="AF68" s="43"/>
      <c r="AG68" s="43"/>
      <c r="AH68" s="43"/>
      <c r="AI68" s="43"/>
      <c r="AJ68" s="43"/>
      <c r="AK68" s="43"/>
      <c r="AL68" s="43"/>
      <c r="AM68" s="43"/>
      <c r="AN68" s="43"/>
      <c r="AO68" s="43"/>
      <c r="AP68" s="43"/>
      <c r="AQ68" s="43"/>
      <c r="AR68" s="43"/>
      <c r="AS68" s="43"/>
      <c r="AT68" s="43"/>
      <c r="AU68" s="43"/>
      <c r="AV68" s="43"/>
      <c r="AW68" s="43"/>
      <c r="AX68" s="43"/>
      <c r="AY68" s="43"/>
      <c r="AZ68" s="43"/>
      <c r="BA68" s="43"/>
      <c r="BB68" s="43"/>
      <c r="BC68" s="43"/>
      <c r="BD68" s="43"/>
    </row>
    <row r="69" spans="1:56" s="44" customFormat="1" ht="15" customHeight="1" x14ac:dyDescent="0.25">
      <c r="A69" s="45"/>
      <c r="B69" s="47" t="s">
        <v>7</v>
      </c>
      <c r="C69" s="41"/>
      <c r="D69" s="42"/>
      <c r="E69" s="40" t="s">
        <v>56</v>
      </c>
      <c r="F69" s="43">
        <v>1373429</v>
      </c>
      <c r="G69" s="43" t="s">
        <v>57</v>
      </c>
      <c r="H69" s="338"/>
      <c r="I69" s="339"/>
      <c r="J69" s="340"/>
      <c r="K69" s="18"/>
      <c r="L69" s="76">
        <f>SUM(O69:BD69)</f>
        <v>1373429</v>
      </c>
      <c r="M69" s="40"/>
      <c r="N69" s="40"/>
      <c r="O69" s="43">
        <f>F69/2</f>
        <v>686714.5</v>
      </c>
      <c r="P69" s="43"/>
      <c r="Q69" s="43">
        <f>F69/2</f>
        <v>686714.5</v>
      </c>
      <c r="R69" s="43"/>
      <c r="S69" s="43"/>
      <c r="T69" s="43"/>
      <c r="U69" s="43"/>
      <c r="V69" s="43"/>
      <c r="W69" s="43"/>
      <c r="X69" s="43"/>
      <c r="Y69" s="43"/>
      <c r="Z69" s="43"/>
      <c r="AA69" s="43"/>
      <c r="AB69" s="43"/>
      <c r="AC69" s="43"/>
      <c r="AD69" s="43"/>
      <c r="AE69" s="43"/>
      <c r="AF69" s="43"/>
      <c r="AG69" s="43"/>
      <c r="AH69" s="43"/>
      <c r="AI69" s="43"/>
      <c r="AJ69" s="43"/>
      <c r="AK69" s="43"/>
      <c r="AL69" s="43"/>
      <c r="AM69" s="43"/>
      <c r="AN69" s="43"/>
      <c r="AO69" s="43"/>
      <c r="AP69" s="43"/>
      <c r="AQ69" s="43"/>
      <c r="AR69" s="43"/>
      <c r="AS69" s="43"/>
      <c r="AT69" s="43"/>
      <c r="AU69" s="43"/>
      <c r="AV69" s="43"/>
      <c r="AW69" s="43"/>
      <c r="AX69" s="43"/>
      <c r="AY69" s="43"/>
      <c r="AZ69" s="43"/>
      <c r="BA69" s="43"/>
      <c r="BB69" s="43"/>
      <c r="BC69" s="43"/>
      <c r="BD69" s="43"/>
    </row>
    <row r="70" spans="1:56" s="44" customFormat="1" ht="15" customHeight="1" x14ac:dyDescent="0.25">
      <c r="A70" s="45"/>
      <c r="B70" s="47" t="s">
        <v>104</v>
      </c>
      <c r="C70" s="41"/>
      <c r="D70" s="42"/>
      <c r="E70" s="40" t="s">
        <v>103</v>
      </c>
      <c r="F70" s="43">
        <v>300000</v>
      </c>
      <c r="G70" s="43"/>
      <c r="H70" s="338"/>
      <c r="I70" s="339"/>
      <c r="J70" s="340"/>
      <c r="K70" s="43">
        <f t="shared" ref="K70:K76" si="9">F70-G70</f>
        <v>300000</v>
      </c>
      <c r="L70" s="76">
        <f>SUM(N70:BD70)</f>
        <v>300000</v>
      </c>
      <c r="N70" s="43">
        <v>300000</v>
      </c>
      <c r="O70" s="43"/>
      <c r="P70" s="43"/>
      <c r="Q70" s="43"/>
      <c r="R70" s="43"/>
      <c r="S70" s="43"/>
      <c r="T70" s="43"/>
      <c r="U70" s="43"/>
      <c r="V70" s="43"/>
      <c r="W70" s="43"/>
      <c r="X70" s="43"/>
      <c r="Y70" s="43"/>
      <c r="Z70" s="43"/>
      <c r="AA70" s="43"/>
      <c r="AB70" s="43"/>
      <c r="AC70" s="43"/>
      <c r="AD70" s="43"/>
      <c r="AE70" s="43"/>
      <c r="AF70" s="43"/>
      <c r="AG70" s="43"/>
      <c r="AH70" s="43"/>
      <c r="AI70" s="43"/>
      <c r="AJ70" s="43"/>
      <c r="AK70" s="43"/>
      <c r="AL70" s="43"/>
      <c r="AM70" s="43"/>
      <c r="AN70" s="43"/>
      <c r="AO70" s="43"/>
      <c r="AP70" s="43"/>
      <c r="AQ70" s="43"/>
      <c r="AR70" s="43"/>
      <c r="AS70" s="43"/>
      <c r="AT70" s="43"/>
      <c r="AU70" s="43"/>
      <c r="AV70" s="43"/>
      <c r="AW70" s="43"/>
      <c r="AX70" s="43"/>
      <c r="AY70" s="43"/>
      <c r="AZ70" s="43"/>
      <c r="BA70" s="43"/>
      <c r="BB70" s="43"/>
      <c r="BC70" s="43"/>
      <c r="BD70" s="43"/>
    </row>
    <row r="71" spans="1:56" s="44" customFormat="1" ht="15" customHeight="1" x14ac:dyDescent="0.25">
      <c r="A71" s="46"/>
      <c r="B71" s="47" t="s">
        <v>100</v>
      </c>
      <c r="C71" s="41"/>
      <c r="D71" s="42"/>
      <c r="E71" s="40" t="s">
        <v>100</v>
      </c>
      <c r="F71" s="43"/>
      <c r="G71" s="43"/>
      <c r="H71" s="338"/>
      <c r="I71" s="339"/>
      <c r="J71" s="340"/>
      <c r="K71" s="43">
        <f t="shared" si="9"/>
        <v>0</v>
      </c>
      <c r="L71" s="76">
        <f t="shared" si="7"/>
        <v>0</v>
      </c>
      <c r="M71" s="43"/>
      <c r="N71" s="43"/>
      <c r="O71" s="43"/>
      <c r="P71" s="43"/>
      <c r="Q71" s="43"/>
      <c r="R71" s="43"/>
      <c r="S71" s="43"/>
      <c r="T71" s="43"/>
      <c r="U71" s="43"/>
      <c r="V71" s="43"/>
      <c r="W71" s="43"/>
      <c r="X71" s="43"/>
      <c r="Y71" s="43"/>
      <c r="Z71" s="43"/>
      <c r="AA71" s="43"/>
      <c r="AB71" s="43"/>
      <c r="AC71" s="43"/>
      <c r="AD71" s="43"/>
      <c r="AE71" s="43"/>
      <c r="AF71" s="43"/>
      <c r="AG71" s="43"/>
      <c r="AH71" s="43"/>
      <c r="AI71" s="43"/>
      <c r="AJ71" s="43"/>
      <c r="AK71" s="43"/>
      <c r="AL71" s="43"/>
      <c r="AM71" s="43"/>
      <c r="AN71" s="43"/>
      <c r="AO71" s="43"/>
      <c r="AP71" s="43"/>
      <c r="AQ71" s="43"/>
      <c r="AR71" s="43"/>
      <c r="AS71" s="43"/>
      <c r="AT71" s="43"/>
      <c r="AU71" s="43"/>
      <c r="AV71" s="43"/>
      <c r="AW71" s="43"/>
      <c r="AX71" s="43"/>
      <c r="AY71" s="43"/>
      <c r="AZ71" s="43"/>
      <c r="BA71" s="43"/>
      <c r="BB71" s="43"/>
      <c r="BC71" s="43"/>
      <c r="BD71" s="43"/>
    </row>
    <row r="72" spans="1:56" s="5" customFormat="1" ht="15.75" customHeight="1" x14ac:dyDescent="0.25">
      <c r="A72" s="38" t="s">
        <v>202</v>
      </c>
      <c r="B72" s="10"/>
      <c r="C72" s="147">
        <v>282200000</v>
      </c>
      <c r="D72" s="9"/>
      <c r="E72" s="10"/>
      <c r="F72" s="11"/>
      <c r="G72" s="11"/>
      <c r="H72" s="285"/>
      <c r="I72" s="286"/>
      <c r="J72" s="287"/>
      <c r="K72" s="18">
        <f t="shared" si="9"/>
        <v>0</v>
      </c>
      <c r="L72" s="55">
        <f>SUM(M72:BD72)</f>
        <v>0</v>
      </c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  <c r="AY72" s="11"/>
      <c r="AZ72" s="11"/>
      <c r="BA72" s="11"/>
      <c r="BB72" s="11"/>
      <c r="BC72" s="11"/>
      <c r="BD72" s="11"/>
    </row>
    <row r="73" spans="1:56" s="19" customFormat="1" x14ac:dyDescent="0.25">
      <c r="A73" s="154"/>
      <c r="B73" s="327" t="s">
        <v>6</v>
      </c>
      <c r="C73" s="17">
        <v>17</v>
      </c>
      <c r="D73" s="30" t="s">
        <v>38</v>
      </c>
      <c r="E73" s="17" t="s">
        <v>1</v>
      </c>
      <c r="F73" s="18">
        <v>75000205</v>
      </c>
      <c r="G73" s="169">
        <f>5000000+35000000+35000000+1000000</f>
        <v>76000000</v>
      </c>
      <c r="H73" s="300">
        <f>SUM(J74:J78)</f>
        <v>77902616.379999995</v>
      </c>
      <c r="I73" s="301"/>
      <c r="J73" s="302"/>
      <c r="K73" s="18">
        <f t="shared" si="9"/>
        <v>-999795</v>
      </c>
      <c r="L73" s="55">
        <f>SUM(M73:BD73)</f>
        <v>449384</v>
      </c>
      <c r="M73" s="18"/>
      <c r="N73" s="18"/>
      <c r="O73" s="18"/>
      <c r="P73" s="18"/>
      <c r="Q73" s="18">
        <f>4938414-4489030</f>
        <v>449384</v>
      </c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18"/>
      <c r="AJ73" s="18"/>
      <c r="AK73" s="18"/>
      <c r="AL73" s="18"/>
      <c r="AM73" s="18"/>
      <c r="AN73" s="18"/>
      <c r="AO73" s="18"/>
      <c r="AP73" s="18"/>
      <c r="AQ73" s="18"/>
      <c r="AR73" s="18"/>
      <c r="AS73" s="18"/>
      <c r="AT73" s="18"/>
      <c r="AU73" s="18"/>
      <c r="AV73" s="18"/>
      <c r="AW73" s="18"/>
      <c r="AX73" s="18"/>
      <c r="AY73" s="18"/>
      <c r="AZ73" s="18"/>
      <c r="BA73" s="18"/>
      <c r="BB73" s="18"/>
      <c r="BC73" s="18"/>
      <c r="BD73" s="18"/>
    </row>
    <row r="74" spans="1:56" s="82" customFormat="1" ht="14.25" hidden="1" customHeight="1" outlineLevel="1" x14ac:dyDescent="0.25">
      <c r="A74" s="77"/>
      <c r="B74" s="328"/>
      <c r="C74" s="78"/>
      <c r="D74" s="79"/>
      <c r="E74" s="78"/>
      <c r="F74" s="80"/>
      <c r="G74" s="80"/>
      <c r="H74" s="181">
        <v>1</v>
      </c>
      <c r="I74" s="182" t="s">
        <v>11</v>
      </c>
      <c r="J74" s="183">
        <v>860000</v>
      </c>
      <c r="K74" s="80">
        <f t="shared" si="9"/>
        <v>0</v>
      </c>
      <c r="L74" s="81">
        <f>SUM(M74:BD74)</f>
        <v>0</v>
      </c>
      <c r="M74" s="80"/>
      <c r="N74" s="80"/>
      <c r="O74" s="80"/>
      <c r="P74" s="80"/>
      <c r="Q74" s="80"/>
      <c r="R74" s="80"/>
      <c r="S74" s="80"/>
      <c r="T74" s="80"/>
      <c r="U74" s="80"/>
      <c r="V74" s="80"/>
      <c r="W74" s="80"/>
      <c r="X74" s="80"/>
      <c r="Y74" s="80"/>
      <c r="Z74" s="80"/>
      <c r="AA74" s="80"/>
      <c r="AB74" s="80"/>
      <c r="AC74" s="80"/>
      <c r="AD74" s="80"/>
      <c r="AE74" s="80"/>
      <c r="AF74" s="80"/>
      <c r="AG74" s="80"/>
      <c r="AH74" s="80"/>
      <c r="AI74" s="80"/>
      <c r="AJ74" s="80"/>
      <c r="AK74" s="80"/>
      <c r="AL74" s="80"/>
      <c r="AM74" s="80"/>
      <c r="AN74" s="80"/>
      <c r="AO74" s="80"/>
      <c r="AP74" s="80"/>
      <c r="AQ74" s="80"/>
      <c r="AR74" s="80"/>
      <c r="AS74" s="80"/>
      <c r="AT74" s="80"/>
      <c r="AU74" s="80"/>
      <c r="AV74" s="80"/>
      <c r="AW74" s="80"/>
      <c r="AX74" s="80"/>
      <c r="AY74" s="80"/>
      <c r="AZ74" s="80"/>
      <c r="BA74" s="80"/>
      <c r="BB74" s="80"/>
      <c r="BC74" s="80"/>
      <c r="BD74" s="80"/>
    </row>
    <row r="75" spans="1:56" s="82" customFormat="1" ht="14.25" hidden="1" customHeight="1" outlineLevel="1" x14ac:dyDescent="0.25">
      <c r="A75" s="77"/>
      <c r="B75" s="328"/>
      <c r="C75" s="78"/>
      <c r="D75" s="79"/>
      <c r="E75" s="78"/>
      <c r="F75" s="80"/>
      <c r="G75" s="80"/>
      <c r="H75" s="181" t="s">
        <v>26</v>
      </c>
      <c r="I75" s="182" t="s">
        <v>12</v>
      </c>
      <c r="J75" s="183">
        <v>42971165</v>
      </c>
      <c r="K75" s="80">
        <f t="shared" si="9"/>
        <v>0</v>
      </c>
      <c r="L75" s="81">
        <f>SUM(M75:BD75)</f>
        <v>0</v>
      </c>
      <c r="M75" s="80"/>
      <c r="N75" s="80"/>
      <c r="O75" s="80"/>
      <c r="P75" s="80"/>
      <c r="Q75" s="80"/>
      <c r="R75" s="80"/>
      <c r="S75" s="80"/>
      <c r="T75" s="80"/>
      <c r="U75" s="80"/>
      <c r="V75" s="80"/>
      <c r="W75" s="80"/>
      <c r="X75" s="80"/>
      <c r="Y75" s="80"/>
      <c r="Z75" s="80"/>
      <c r="AA75" s="80"/>
      <c r="AB75" s="80"/>
      <c r="AC75" s="80"/>
      <c r="AD75" s="80"/>
      <c r="AE75" s="80"/>
      <c r="AF75" s="80"/>
      <c r="AG75" s="80"/>
      <c r="AH75" s="80"/>
      <c r="AI75" s="80"/>
      <c r="AJ75" s="80"/>
      <c r="AK75" s="80"/>
      <c r="AL75" s="80"/>
      <c r="AM75" s="80"/>
      <c r="AN75" s="80"/>
      <c r="AO75" s="80"/>
      <c r="AP75" s="80"/>
      <c r="AQ75" s="80"/>
      <c r="AR75" s="80"/>
      <c r="AS75" s="80"/>
      <c r="AT75" s="80"/>
      <c r="AU75" s="80"/>
      <c r="AV75" s="80"/>
      <c r="AW75" s="80"/>
      <c r="AX75" s="80"/>
      <c r="AY75" s="80"/>
      <c r="AZ75" s="80"/>
      <c r="BA75" s="80"/>
      <c r="BB75" s="80"/>
      <c r="BC75" s="80"/>
      <c r="BD75" s="80"/>
    </row>
    <row r="76" spans="1:56" s="82" customFormat="1" ht="14.25" hidden="1" customHeight="1" outlineLevel="1" x14ac:dyDescent="0.25">
      <c r="A76" s="77"/>
      <c r="B76" s="328"/>
      <c r="C76" s="78"/>
      <c r="D76" s="79"/>
      <c r="E76" s="78"/>
      <c r="F76" s="80"/>
      <c r="G76" s="80"/>
      <c r="H76" s="181" t="s">
        <v>27</v>
      </c>
      <c r="I76" s="182" t="s">
        <v>12</v>
      </c>
      <c r="J76" s="183">
        <v>1107248.5</v>
      </c>
      <c r="K76" s="80">
        <f t="shared" si="9"/>
        <v>0</v>
      </c>
      <c r="L76" s="81">
        <f>SUM(M76:BD76)</f>
        <v>0</v>
      </c>
      <c r="M76" s="80"/>
      <c r="N76" s="80"/>
      <c r="O76" s="80"/>
      <c r="P76" s="80"/>
      <c r="Q76" s="80"/>
      <c r="R76" s="80"/>
      <c r="S76" s="80"/>
      <c r="T76" s="80"/>
      <c r="U76" s="80"/>
      <c r="V76" s="80"/>
      <c r="W76" s="80"/>
      <c r="X76" s="80"/>
      <c r="Y76" s="80"/>
      <c r="Z76" s="80"/>
      <c r="AA76" s="80"/>
      <c r="AB76" s="80"/>
      <c r="AC76" s="80"/>
      <c r="AD76" s="80"/>
      <c r="AE76" s="80"/>
      <c r="AF76" s="80"/>
      <c r="AG76" s="80"/>
      <c r="AH76" s="80"/>
      <c r="AI76" s="80"/>
      <c r="AJ76" s="80"/>
      <c r="AK76" s="80"/>
      <c r="AL76" s="80"/>
      <c r="AM76" s="80"/>
      <c r="AN76" s="80"/>
      <c r="AO76" s="80"/>
      <c r="AP76" s="80"/>
      <c r="AQ76" s="80"/>
      <c r="AR76" s="80"/>
      <c r="AS76" s="80"/>
      <c r="AT76" s="80"/>
      <c r="AU76" s="80"/>
      <c r="AV76" s="80"/>
      <c r="AW76" s="80"/>
      <c r="AX76" s="80"/>
      <c r="AY76" s="80"/>
      <c r="AZ76" s="80"/>
      <c r="BA76" s="80"/>
      <c r="BB76" s="80"/>
      <c r="BC76" s="80"/>
      <c r="BD76" s="80"/>
    </row>
    <row r="77" spans="1:56" s="82" customFormat="1" ht="14.25" hidden="1" customHeight="1" outlineLevel="1" x14ac:dyDescent="0.25">
      <c r="A77" s="77"/>
      <c r="B77" s="328"/>
      <c r="C77" s="78"/>
      <c r="D77" s="79"/>
      <c r="E77" s="78"/>
      <c r="F77" s="80"/>
      <c r="G77" s="80"/>
      <c r="H77" s="181" t="s">
        <v>158</v>
      </c>
      <c r="I77" s="182" t="s">
        <v>159</v>
      </c>
      <c r="J77" s="183">
        <v>31061586.5</v>
      </c>
      <c r="K77" s="80"/>
      <c r="L77" s="81"/>
      <c r="M77" s="80"/>
      <c r="N77" s="80"/>
      <c r="O77" s="80"/>
      <c r="P77" s="80"/>
      <c r="Q77" s="80"/>
      <c r="R77" s="80"/>
      <c r="S77" s="80"/>
      <c r="T77" s="80"/>
      <c r="U77" s="80"/>
      <c r="V77" s="80"/>
      <c r="W77" s="80"/>
      <c r="X77" s="80"/>
      <c r="Y77" s="80"/>
      <c r="Z77" s="80"/>
      <c r="AA77" s="80"/>
      <c r="AB77" s="80"/>
      <c r="AC77" s="80"/>
      <c r="AD77" s="80"/>
      <c r="AE77" s="80"/>
      <c r="AF77" s="80"/>
      <c r="AG77" s="80"/>
      <c r="AH77" s="80"/>
      <c r="AI77" s="80"/>
      <c r="AJ77" s="80"/>
      <c r="AK77" s="80"/>
      <c r="AL77" s="80"/>
      <c r="AM77" s="80"/>
      <c r="AN77" s="80"/>
      <c r="AO77" s="80"/>
      <c r="AP77" s="80"/>
      <c r="AQ77" s="80"/>
      <c r="AR77" s="80"/>
      <c r="AS77" s="80"/>
      <c r="AT77" s="80"/>
      <c r="AU77" s="80"/>
      <c r="AV77" s="80"/>
      <c r="AW77" s="80"/>
      <c r="AX77" s="80"/>
      <c r="AY77" s="80"/>
      <c r="AZ77" s="80"/>
      <c r="BA77" s="80"/>
      <c r="BB77" s="80"/>
      <c r="BC77" s="80"/>
      <c r="BD77" s="80"/>
    </row>
    <row r="78" spans="1:56" s="82" customFormat="1" ht="14.25" hidden="1" customHeight="1" outlineLevel="1" x14ac:dyDescent="0.25">
      <c r="A78" s="77"/>
      <c r="B78" s="328"/>
      <c r="C78" s="78"/>
      <c r="D78" s="79"/>
      <c r="E78" s="78"/>
      <c r="F78" s="80"/>
      <c r="G78" s="80"/>
      <c r="H78" s="181" t="s">
        <v>261</v>
      </c>
      <c r="I78" s="182" t="s">
        <v>159</v>
      </c>
      <c r="J78" s="183">
        <v>1902616.38</v>
      </c>
      <c r="K78" s="80"/>
      <c r="L78" s="81"/>
      <c r="M78" s="80"/>
      <c r="N78" s="80"/>
      <c r="O78" s="80"/>
      <c r="P78" s="80"/>
      <c r="Q78" s="80"/>
      <c r="R78" s="80"/>
      <c r="S78" s="80"/>
      <c r="T78" s="80"/>
      <c r="U78" s="80"/>
      <c r="V78" s="80"/>
      <c r="W78" s="80"/>
      <c r="X78" s="80"/>
      <c r="Y78" s="80"/>
      <c r="Z78" s="80"/>
      <c r="AA78" s="80"/>
      <c r="AB78" s="80"/>
      <c r="AC78" s="80"/>
      <c r="AD78" s="80"/>
      <c r="AE78" s="80"/>
      <c r="AF78" s="80"/>
      <c r="AG78" s="80"/>
      <c r="AH78" s="80"/>
      <c r="AI78" s="80"/>
      <c r="AJ78" s="80"/>
      <c r="AK78" s="80"/>
      <c r="AL78" s="80"/>
      <c r="AM78" s="80"/>
      <c r="AN78" s="80"/>
      <c r="AO78" s="80"/>
      <c r="AP78" s="80"/>
      <c r="AQ78" s="80"/>
      <c r="AR78" s="80"/>
      <c r="AS78" s="80"/>
      <c r="AT78" s="80"/>
      <c r="AU78" s="80"/>
      <c r="AV78" s="80"/>
      <c r="AW78" s="80"/>
      <c r="AX78" s="80"/>
      <c r="AY78" s="80"/>
      <c r="AZ78" s="80"/>
      <c r="BA78" s="80"/>
      <c r="BB78" s="80"/>
      <c r="BC78" s="80"/>
      <c r="BD78" s="80"/>
    </row>
    <row r="79" spans="1:56" s="19" customFormat="1" ht="14.25" customHeight="1" collapsed="1" x14ac:dyDescent="0.25">
      <c r="A79" s="85"/>
      <c r="B79" s="328"/>
      <c r="C79" s="17" t="s">
        <v>141</v>
      </c>
      <c r="D79" s="30" t="s">
        <v>142</v>
      </c>
      <c r="E79" s="17" t="s">
        <v>1</v>
      </c>
      <c r="F79" s="18">
        <v>197180280</v>
      </c>
      <c r="G79" s="169">
        <f>4000000+30000000</f>
        <v>34000000</v>
      </c>
      <c r="H79" s="300">
        <f>SUM(J80:J82)</f>
        <v>19998253.760000002</v>
      </c>
      <c r="I79" s="301"/>
      <c r="J79" s="302"/>
      <c r="K79" s="18">
        <f t="shared" ref="K79:K87" si="10">F79-G79</f>
        <v>163180280</v>
      </c>
      <c r="L79" s="55">
        <f>SUM(M79:BD79)</f>
        <v>170998254</v>
      </c>
      <c r="M79" s="18">
        <f>1000000+19998254</f>
        <v>20998254</v>
      </c>
      <c r="N79" s="18">
        <f>35000000+15000000</f>
        <v>50000000</v>
      </c>
      <c r="O79" s="18">
        <f>10000000+20000000</f>
        <v>30000000</v>
      </c>
      <c r="P79" s="18">
        <v>10000000</v>
      </c>
      <c r="Q79" s="18">
        <v>10000000</v>
      </c>
      <c r="R79" s="18">
        <v>10000000</v>
      </c>
      <c r="S79" s="18">
        <v>10000000</v>
      </c>
      <c r="T79" s="18">
        <v>10000000</v>
      </c>
      <c r="U79" s="18">
        <v>10000000</v>
      </c>
      <c r="V79" s="18">
        <v>10000000</v>
      </c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  <c r="AH79" s="18"/>
      <c r="AI79" s="18"/>
      <c r="AJ79" s="18"/>
      <c r="AK79" s="18"/>
      <c r="AL79" s="18"/>
      <c r="AM79" s="18"/>
      <c r="AN79" s="18"/>
      <c r="AO79" s="18"/>
      <c r="AP79" s="18"/>
      <c r="AQ79" s="18"/>
      <c r="AR79" s="18"/>
      <c r="AS79" s="18"/>
      <c r="AT79" s="18"/>
      <c r="AU79" s="18"/>
      <c r="AV79" s="18"/>
      <c r="AW79" s="18"/>
      <c r="AX79" s="18"/>
      <c r="AY79" s="18"/>
      <c r="AZ79" s="18"/>
      <c r="BA79" s="18"/>
      <c r="BB79" s="18"/>
      <c r="BC79" s="18"/>
      <c r="BD79" s="18"/>
    </row>
    <row r="80" spans="1:56" s="82" customFormat="1" ht="14.25" hidden="1" customHeight="1" outlineLevel="1" x14ac:dyDescent="0.25">
      <c r="A80" s="77"/>
      <c r="B80" s="328"/>
      <c r="C80" s="78"/>
      <c r="D80" s="79"/>
      <c r="E80" s="78"/>
      <c r="F80" s="80"/>
      <c r="G80" s="80"/>
      <c r="H80" s="165">
        <v>1</v>
      </c>
      <c r="I80" s="163" t="s">
        <v>159</v>
      </c>
      <c r="J80" s="164">
        <v>19998253.760000002</v>
      </c>
      <c r="K80" s="80"/>
      <c r="L80" s="81"/>
      <c r="M80" s="80"/>
      <c r="N80" s="80"/>
      <c r="O80" s="80"/>
      <c r="P80" s="80"/>
      <c r="Q80" s="80"/>
      <c r="R80" s="80"/>
      <c r="S80" s="80"/>
      <c r="T80" s="80"/>
      <c r="U80" s="80"/>
      <c r="V80" s="80"/>
      <c r="W80" s="80"/>
      <c r="X80" s="80"/>
      <c r="Y80" s="80"/>
      <c r="Z80" s="80"/>
      <c r="AA80" s="80"/>
      <c r="AB80" s="80"/>
      <c r="AC80" s="80"/>
      <c r="AD80" s="80"/>
      <c r="AE80" s="80"/>
      <c r="AF80" s="80"/>
      <c r="AG80" s="80"/>
      <c r="AH80" s="80"/>
      <c r="AI80" s="80"/>
      <c r="AJ80" s="80"/>
      <c r="AK80" s="80"/>
      <c r="AL80" s="80"/>
      <c r="AM80" s="80"/>
      <c r="AN80" s="80"/>
      <c r="AO80" s="80"/>
      <c r="AP80" s="80"/>
      <c r="AQ80" s="80"/>
      <c r="AR80" s="80"/>
      <c r="AS80" s="80"/>
      <c r="AT80" s="80"/>
      <c r="AU80" s="80"/>
      <c r="AV80" s="80"/>
      <c r="AW80" s="80"/>
      <c r="AX80" s="80"/>
      <c r="AY80" s="80"/>
      <c r="AZ80" s="80"/>
      <c r="BA80" s="80"/>
      <c r="BB80" s="80"/>
      <c r="BC80" s="80"/>
      <c r="BD80" s="80"/>
    </row>
    <row r="81" spans="1:56" s="82" customFormat="1" ht="14.25" hidden="1" customHeight="1" outlineLevel="1" x14ac:dyDescent="0.25">
      <c r="A81" s="77"/>
      <c r="B81" s="328"/>
      <c r="C81" s="78"/>
      <c r="D81" s="79"/>
      <c r="E81" s="78"/>
      <c r="F81" s="80"/>
      <c r="G81" s="80"/>
      <c r="H81" s="165"/>
      <c r="I81" s="163"/>
      <c r="J81" s="164"/>
      <c r="K81" s="80"/>
      <c r="L81" s="81"/>
      <c r="M81" s="80"/>
      <c r="N81" s="80"/>
      <c r="O81" s="80"/>
      <c r="P81" s="80"/>
      <c r="Q81" s="80"/>
      <c r="R81" s="80"/>
      <c r="S81" s="80"/>
      <c r="T81" s="80"/>
      <c r="U81" s="80"/>
      <c r="V81" s="80"/>
      <c r="W81" s="80"/>
      <c r="X81" s="80"/>
      <c r="Y81" s="80"/>
      <c r="Z81" s="80"/>
      <c r="AA81" s="80"/>
      <c r="AB81" s="80"/>
      <c r="AC81" s="80"/>
      <c r="AD81" s="80"/>
      <c r="AE81" s="80"/>
      <c r="AF81" s="80"/>
      <c r="AG81" s="80"/>
      <c r="AH81" s="80"/>
      <c r="AI81" s="80"/>
      <c r="AJ81" s="80"/>
      <c r="AK81" s="80"/>
      <c r="AL81" s="80"/>
      <c r="AM81" s="80"/>
      <c r="AN81" s="80"/>
      <c r="AO81" s="80"/>
      <c r="AP81" s="80"/>
      <c r="AQ81" s="80"/>
      <c r="AR81" s="80"/>
      <c r="AS81" s="80"/>
      <c r="AT81" s="80"/>
      <c r="AU81" s="80"/>
      <c r="AV81" s="80"/>
      <c r="AW81" s="80"/>
      <c r="AX81" s="80"/>
      <c r="AY81" s="80"/>
      <c r="AZ81" s="80"/>
      <c r="BA81" s="80"/>
      <c r="BB81" s="80"/>
      <c r="BC81" s="80"/>
      <c r="BD81" s="80"/>
    </row>
    <row r="82" spans="1:56" s="82" customFormat="1" ht="14.25" hidden="1" customHeight="1" outlineLevel="1" x14ac:dyDescent="0.25">
      <c r="A82" s="77"/>
      <c r="B82" s="328"/>
      <c r="C82" s="78"/>
      <c r="D82" s="79"/>
      <c r="E82" s="78"/>
      <c r="F82" s="80"/>
      <c r="G82" s="80"/>
      <c r="H82" s="165"/>
      <c r="I82" s="163"/>
      <c r="J82" s="164"/>
      <c r="K82" s="80"/>
      <c r="L82" s="81"/>
      <c r="M82" s="80"/>
      <c r="N82" s="80"/>
      <c r="O82" s="80"/>
      <c r="P82" s="80"/>
      <c r="Q82" s="80"/>
      <c r="R82" s="80"/>
      <c r="S82" s="80"/>
      <c r="T82" s="80"/>
      <c r="U82" s="80"/>
      <c r="V82" s="80"/>
      <c r="W82" s="80"/>
      <c r="X82" s="80"/>
      <c r="Y82" s="80"/>
      <c r="Z82" s="80"/>
      <c r="AA82" s="80"/>
      <c r="AB82" s="80"/>
      <c r="AC82" s="80"/>
      <c r="AD82" s="80"/>
      <c r="AE82" s="80"/>
      <c r="AF82" s="80"/>
      <c r="AG82" s="80"/>
      <c r="AH82" s="80"/>
      <c r="AI82" s="80"/>
      <c r="AJ82" s="80"/>
      <c r="AK82" s="80"/>
      <c r="AL82" s="80"/>
      <c r="AM82" s="80"/>
      <c r="AN82" s="80"/>
      <c r="AO82" s="80"/>
      <c r="AP82" s="80"/>
      <c r="AQ82" s="80"/>
      <c r="AR82" s="80"/>
      <c r="AS82" s="80"/>
      <c r="AT82" s="80"/>
      <c r="AU82" s="80"/>
      <c r="AV82" s="80"/>
      <c r="AW82" s="80"/>
      <c r="AX82" s="80"/>
      <c r="AY82" s="80"/>
      <c r="AZ82" s="80"/>
      <c r="BA82" s="80"/>
      <c r="BB82" s="80"/>
      <c r="BC82" s="80"/>
      <c r="BD82" s="80"/>
    </row>
    <row r="83" spans="1:56" s="19" customFormat="1" ht="14.25" customHeight="1" collapsed="1" x14ac:dyDescent="0.25">
      <c r="A83" s="85"/>
      <c r="B83" s="329"/>
      <c r="C83" s="17" t="s">
        <v>146</v>
      </c>
      <c r="D83" s="30" t="s">
        <v>147</v>
      </c>
      <c r="E83" s="17" t="s">
        <v>4</v>
      </c>
      <c r="F83" s="18">
        <v>1663252.5</v>
      </c>
      <c r="G83" s="169">
        <v>0</v>
      </c>
      <c r="H83" s="300">
        <f>828232.5</f>
        <v>828232.5</v>
      </c>
      <c r="I83" s="301"/>
      <c r="J83" s="302"/>
      <c r="K83" s="18">
        <f t="shared" si="10"/>
        <v>1663252.5</v>
      </c>
      <c r="L83" s="55">
        <f>SUM(M83:BD83)</f>
        <v>1663253</v>
      </c>
      <c r="M83" s="18">
        <v>828233</v>
      </c>
      <c r="N83" s="18">
        <v>835020</v>
      </c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  <c r="AD83" s="18"/>
      <c r="AE83" s="18"/>
      <c r="AF83" s="18"/>
      <c r="AG83" s="18"/>
      <c r="AH83" s="18"/>
      <c r="AI83" s="18"/>
      <c r="AJ83" s="18"/>
      <c r="AK83" s="18"/>
      <c r="AL83" s="18"/>
      <c r="AM83" s="18"/>
      <c r="AN83" s="18"/>
      <c r="AO83" s="18"/>
      <c r="AP83" s="18"/>
      <c r="AQ83" s="18"/>
      <c r="AR83" s="18"/>
      <c r="AS83" s="18"/>
      <c r="AT83" s="18"/>
      <c r="AU83" s="18"/>
      <c r="AV83" s="18"/>
      <c r="AW83" s="18"/>
      <c r="AX83" s="18"/>
      <c r="AY83" s="18"/>
      <c r="AZ83" s="18"/>
      <c r="BA83" s="18"/>
      <c r="BB83" s="18"/>
      <c r="BC83" s="18"/>
      <c r="BD83" s="18"/>
    </row>
    <row r="84" spans="1:56" s="19" customFormat="1" ht="15" customHeight="1" x14ac:dyDescent="0.25">
      <c r="A84" s="85"/>
      <c r="B84" s="91" t="s">
        <v>108</v>
      </c>
      <c r="C84" s="17" t="s">
        <v>148</v>
      </c>
      <c r="D84" s="50" t="s">
        <v>149</v>
      </c>
      <c r="E84" s="49" t="s">
        <v>109</v>
      </c>
      <c r="F84" s="54">
        <v>13879650</v>
      </c>
      <c r="G84" s="168">
        <f>1000000</f>
        <v>1000000</v>
      </c>
      <c r="H84" s="300">
        <v>0</v>
      </c>
      <c r="I84" s="301"/>
      <c r="J84" s="302"/>
      <c r="K84" s="18">
        <f t="shared" si="10"/>
        <v>12879650</v>
      </c>
      <c r="L84" s="55">
        <f>SUM(M84:BD84)</f>
        <v>12879650</v>
      </c>
      <c r="M84" s="18">
        <v>755715.5</v>
      </c>
      <c r="N84" s="18">
        <f>4096669.5/2</f>
        <v>2048334.75</v>
      </c>
      <c r="O84" s="18">
        <f>4096669.5/2</f>
        <v>2048334.75</v>
      </c>
      <c r="P84" s="18">
        <f>900000+429300</f>
        <v>1329300</v>
      </c>
      <c r="Q84" s="18">
        <f>900000+120000</f>
        <v>1020000</v>
      </c>
      <c r="R84" s="18">
        <f>900000+120000</f>
        <v>1020000</v>
      </c>
      <c r="S84" s="18">
        <f>900000+120000</f>
        <v>1020000</v>
      </c>
      <c r="T84" s="18">
        <f>900000+120000</f>
        <v>1020000</v>
      </c>
      <c r="U84" s="18">
        <f>900000+120000</f>
        <v>1020000</v>
      </c>
      <c r="V84" s="18">
        <f>900000+47700</f>
        <v>947700</v>
      </c>
      <c r="W84" s="18">
        <v>650265</v>
      </c>
      <c r="X84" s="18"/>
      <c r="Y84" s="18"/>
      <c r="Z84" s="18"/>
      <c r="AA84" s="18"/>
      <c r="AB84" s="18"/>
      <c r="AC84" s="18"/>
      <c r="AD84" s="18"/>
      <c r="AE84" s="18"/>
      <c r="AF84" s="18"/>
      <c r="AG84" s="18"/>
      <c r="AH84" s="18"/>
      <c r="AI84" s="18"/>
      <c r="AJ84" s="18"/>
      <c r="AK84" s="18"/>
      <c r="AL84" s="18"/>
      <c r="AM84" s="18"/>
      <c r="AN84" s="18"/>
      <c r="AO84" s="18"/>
      <c r="AP84" s="18"/>
      <c r="AQ84" s="18"/>
      <c r="AR84" s="18"/>
      <c r="AS84" s="18"/>
      <c r="AT84" s="18"/>
      <c r="AU84" s="18"/>
      <c r="AV84" s="18"/>
      <c r="AW84" s="18"/>
      <c r="AX84" s="18"/>
      <c r="AY84" s="18"/>
      <c r="AZ84" s="18"/>
      <c r="BA84" s="18"/>
      <c r="BB84" s="18"/>
      <c r="BC84" s="18"/>
      <c r="BD84" s="18"/>
    </row>
    <row r="85" spans="1:56" s="108" customFormat="1" ht="15" customHeight="1" x14ac:dyDescent="0.25">
      <c r="A85" s="103"/>
      <c r="B85" s="333" t="s">
        <v>161</v>
      </c>
      <c r="C85" s="58" t="s">
        <v>162</v>
      </c>
      <c r="D85" s="105" t="s">
        <v>163</v>
      </c>
      <c r="E85" s="66" t="s">
        <v>164</v>
      </c>
      <c r="F85" s="106">
        <v>30069</v>
      </c>
      <c r="G85" s="180">
        <v>0</v>
      </c>
      <c r="H85" s="318">
        <v>0</v>
      </c>
      <c r="I85" s="319"/>
      <c r="J85" s="320"/>
      <c r="K85" s="18">
        <f t="shared" si="10"/>
        <v>30069</v>
      </c>
      <c r="L85" s="115">
        <f>SUM(M85:BD85)</f>
        <v>30069.94</v>
      </c>
      <c r="M85" s="106">
        <v>30069.94</v>
      </c>
      <c r="N85" s="106"/>
      <c r="O85" s="106"/>
      <c r="P85" s="106"/>
      <c r="Q85" s="106"/>
      <c r="R85" s="106"/>
      <c r="S85" s="106"/>
      <c r="T85" s="106"/>
      <c r="U85" s="106"/>
      <c r="V85" s="106"/>
      <c r="W85" s="106"/>
      <c r="X85" s="106"/>
      <c r="Y85" s="106"/>
      <c r="Z85" s="106"/>
      <c r="AA85" s="106"/>
      <c r="AB85" s="106"/>
      <c r="AC85" s="106"/>
      <c r="AD85" s="106"/>
      <c r="AE85" s="106"/>
      <c r="AF85" s="106"/>
      <c r="AG85" s="106"/>
      <c r="AH85" s="106"/>
      <c r="AI85" s="106"/>
      <c r="AJ85" s="106"/>
      <c r="AK85" s="106"/>
      <c r="AL85" s="106"/>
      <c r="AM85" s="106"/>
      <c r="AN85" s="106"/>
      <c r="AO85" s="106"/>
      <c r="AP85" s="106"/>
      <c r="AQ85" s="106"/>
      <c r="AR85" s="106"/>
      <c r="AS85" s="106"/>
      <c r="AT85" s="106"/>
      <c r="AU85" s="106"/>
      <c r="AV85" s="106"/>
      <c r="AW85" s="106"/>
      <c r="AX85" s="106"/>
      <c r="AY85" s="106"/>
      <c r="AZ85" s="106"/>
      <c r="BA85" s="106"/>
      <c r="BB85" s="106"/>
      <c r="BC85" s="106"/>
      <c r="BD85" s="106"/>
    </row>
    <row r="86" spans="1:56" s="108" customFormat="1" ht="15" customHeight="1" x14ac:dyDescent="0.25">
      <c r="A86" s="103"/>
      <c r="B86" s="346"/>
      <c r="C86" s="58" t="s">
        <v>165</v>
      </c>
      <c r="D86" s="105" t="s">
        <v>166</v>
      </c>
      <c r="E86" s="66" t="s">
        <v>167</v>
      </c>
      <c r="F86" s="106">
        <v>276586.09999999998</v>
      </c>
      <c r="G86" s="180">
        <v>0</v>
      </c>
      <c r="H86" s="318">
        <v>0</v>
      </c>
      <c r="I86" s="319"/>
      <c r="J86" s="320"/>
      <c r="K86" s="18">
        <f t="shared" si="10"/>
        <v>276586.09999999998</v>
      </c>
      <c r="L86" s="115">
        <f>SUM(M86:BD86)</f>
        <v>276586.09999999998</v>
      </c>
      <c r="M86" s="106">
        <v>276586.09999999998</v>
      </c>
      <c r="N86" s="106"/>
      <c r="O86" s="106"/>
      <c r="P86" s="106"/>
      <c r="Q86" s="106"/>
      <c r="R86" s="106"/>
      <c r="S86" s="106"/>
      <c r="T86" s="106"/>
      <c r="U86" s="106"/>
      <c r="V86" s="106"/>
      <c r="W86" s="106"/>
      <c r="X86" s="106"/>
      <c r="Y86" s="106"/>
      <c r="Z86" s="106"/>
      <c r="AA86" s="106"/>
      <c r="AB86" s="106"/>
      <c r="AC86" s="106"/>
      <c r="AD86" s="106"/>
      <c r="AE86" s="106"/>
      <c r="AF86" s="106"/>
      <c r="AG86" s="106"/>
      <c r="AH86" s="106"/>
      <c r="AI86" s="106"/>
      <c r="AJ86" s="106"/>
      <c r="AK86" s="106"/>
      <c r="AL86" s="106"/>
      <c r="AM86" s="106"/>
      <c r="AN86" s="106"/>
      <c r="AO86" s="106"/>
      <c r="AP86" s="106"/>
      <c r="AQ86" s="106"/>
      <c r="AR86" s="106"/>
      <c r="AS86" s="106"/>
      <c r="AT86" s="106"/>
      <c r="AU86" s="106"/>
      <c r="AV86" s="106"/>
      <c r="AW86" s="106"/>
      <c r="AX86" s="106"/>
      <c r="AY86" s="106"/>
      <c r="AZ86" s="106"/>
      <c r="BA86" s="106"/>
      <c r="BB86" s="106"/>
      <c r="BC86" s="106"/>
      <c r="BD86" s="106"/>
    </row>
    <row r="87" spans="1:56" s="108" customFormat="1" ht="15" customHeight="1" x14ac:dyDescent="0.25">
      <c r="A87" s="103"/>
      <c r="B87" s="110" t="s">
        <v>172</v>
      </c>
      <c r="C87" s="58" t="s">
        <v>173</v>
      </c>
      <c r="D87" s="105" t="s">
        <v>166</v>
      </c>
      <c r="E87" s="66" t="s">
        <v>174</v>
      </c>
      <c r="F87" s="106">
        <v>240810.86</v>
      </c>
      <c r="G87" s="180">
        <v>0</v>
      </c>
      <c r="H87" s="318">
        <v>0</v>
      </c>
      <c r="I87" s="319"/>
      <c r="J87" s="320"/>
      <c r="K87" s="18">
        <f t="shared" si="10"/>
        <v>240810.86</v>
      </c>
      <c r="L87" s="115">
        <f>SUM(M87:BD87)</f>
        <v>240810.86</v>
      </c>
      <c r="M87" s="106">
        <v>120405.43</v>
      </c>
      <c r="N87" s="106">
        <v>120405.43</v>
      </c>
      <c r="O87" s="106"/>
      <c r="P87" s="106"/>
      <c r="Q87" s="106"/>
      <c r="R87" s="106"/>
      <c r="S87" s="106"/>
      <c r="T87" s="106"/>
      <c r="U87" s="106"/>
      <c r="V87" s="106"/>
      <c r="W87" s="106"/>
      <c r="X87" s="106"/>
      <c r="Y87" s="106"/>
      <c r="Z87" s="106"/>
      <c r="AA87" s="106"/>
      <c r="AB87" s="106"/>
      <c r="AC87" s="106"/>
      <c r="AD87" s="106"/>
      <c r="AE87" s="106"/>
      <c r="AF87" s="106"/>
      <c r="AG87" s="106"/>
      <c r="AH87" s="106"/>
      <c r="AI87" s="106"/>
      <c r="AJ87" s="106"/>
      <c r="AK87" s="106"/>
      <c r="AL87" s="106"/>
      <c r="AM87" s="106"/>
      <c r="AN87" s="106"/>
      <c r="AO87" s="106"/>
      <c r="AP87" s="106"/>
      <c r="AQ87" s="106"/>
      <c r="AR87" s="106"/>
      <c r="AS87" s="106"/>
      <c r="AT87" s="106"/>
      <c r="AU87" s="106"/>
      <c r="AV87" s="106"/>
      <c r="AW87" s="106"/>
      <c r="AX87" s="106"/>
      <c r="AY87" s="106"/>
      <c r="AZ87" s="106"/>
      <c r="BA87" s="106"/>
      <c r="BB87" s="106"/>
      <c r="BC87" s="106"/>
      <c r="BD87" s="106"/>
    </row>
    <row r="88" spans="1:56" s="19" customFormat="1" x14ac:dyDescent="0.25">
      <c r="A88" s="60"/>
      <c r="B88" s="347" t="s">
        <v>24</v>
      </c>
      <c r="C88" s="66" t="s">
        <v>262</v>
      </c>
      <c r="D88" s="52" t="s">
        <v>39</v>
      </c>
      <c r="E88" s="59" t="s">
        <v>86</v>
      </c>
      <c r="F88" s="67">
        <v>26418736</v>
      </c>
      <c r="G88" s="184">
        <v>0</v>
      </c>
      <c r="H88" s="378">
        <f>SUM(J89:J92)</f>
        <v>19586236</v>
      </c>
      <c r="I88" s="378"/>
      <c r="J88" s="378"/>
      <c r="K88" s="18">
        <f t="shared" ref="K88:K93" si="11">F88-G88</f>
        <v>26418736</v>
      </c>
      <c r="L88" s="55">
        <f t="shared" ref="L88:L93" si="12">SUM(M88:BD88)</f>
        <v>26418736</v>
      </c>
      <c r="M88" s="18">
        <v>19586236</v>
      </c>
      <c r="N88" s="18"/>
      <c r="O88" s="18"/>
      <c r="P88" s="18"/>
      <c r="Q88" s="18"/>
      <c r="R88" s="18"/>
      <c r="S88" s="18"/>
      <c r="T88" s="18">
        <v>6832500</v>
      </c>
      <c r="U88" s="18"/>
      <c r="V88" s="18"/>
      <c r="W88" s="18"/>
      <c r="X88" s="18"/>
      <c r="Y88" s="18"/>
      <c r="Z88" s="18"/>
      <c r="AA88" s="18"/>
      <c r="AB88" s="18"/>
      <c r="AC88" s="18"/>
      <c r="AD88" s="18"/>
      <c r="AE88" s="18"/>
      <c r="AF88" s="18"/>
      <c r="AG88" s="18"/>
      <c r="AH88" s="18"/>
      <c r="AI88" s="18"/>
      <c r="AJ88" s="18"/>
      <c r="AK88" s="18"/>
      <c r="AL88" s="18"/>
      <c r="AM88" s="18"/>
      <c r="AN88" s="18"/>
      <c r="AO88" s="18"/>
      <c r="AP88" s="18"/>
      <c r="AQ88" s="18"/>
      <c r="AR88" s="18"/>
      <c r="AS88" s="18"/>
      <c r="AT88" s="18"/>
      <c r="AU88" s="18"/>
      <c r="AV88" s="18"/>
      <c r="AW88" s="18"/>
      <c r="AX88" s="18"/>
      <c r="AY88" s="18"/>
      <c r="AZ88" s="18"/>
      <c r="BA88" s="18"/>
      <c r="BB88" s="18"/>
      <c r="BC88" s="18"/>
      <c r="BD88" s="18"/>
    </row>
    <row r="89" spans="1:56" s="82" customFormat="1" ht="14.25" hidden="1" customHeight="1" outlineLevel="1" x14ac:dyDescent="0.25">
      <c r="A89" s="83"/>
      <c r="B89" s="348"/>
      <c r="C89" s="86"/>
      <c r="D89" s="87"/>
      <c r="E89" s="88"/>
      <c r="F89" s="89"/>
      <c r="G89" s="90"/>
      <c r="H89" s="84">
        <v>1</v>
      </c>
      <c r="I89" s="81" t="s">
        <v>143</v>
      </c>
      <c r="J89" s="81">
        <v>6440000</v>
      </c>
      <c r="K89" s="18">
        <f t="shared" si="11"/>
        <v>0</v>
      </c>
      <c r="L89" s="121">
        <f t="shared" si="12"/>
        <v>0</v>
      </c>
      <c r="M89" s="80"/>
      <c r="N89" s="80"/>
      <c r="O89" s="80"/>
      <c r="P89" s="80"/>
      <c r="Q89" s="80"/>
      <c r="R89" s="80"/>
      <c r="S89" s="80"/>
      <c r="T89" s="80"/>
      <c r="U89" s="80"/>
      <c r="V89" s="80"/>
      <c r="W89" s="80"/>
      <c r="X89" s="80"/>
      <c r="Y89" s="80"/>
      <c r="Z89" s="80"/>
      <c r="AA89" s="80"/>
      <c r="AB89" s="80"/>
      <c r="AC89" s="80"/>
      <c r="AD89" s="80"/>
      <c r="AE89" s="80"/>
      <c r="AF89" s="80"/>
      <c r="AG89" s="80"/>
      <c r="AH89" s="80"/>
      <c r="AI89" s="80"/>
      <c r="AJ89" s="80"/>
      <c r="AK89" s="80"/>
      <c r="AL89" s="80"/>
      <c r="AM89" s="80"/>
      <c r="AN89" s="80"/>
      <c r="AO89" s="80"/>
      <c r="AP89" s="80"/>
      <c r="AQ89" s="80"/>
      <c r="AR89" s="80"/>
      <c r="AS89" s="80"/>
      <c r="AT89" s="80"/>
      <c r="AU89" s="80"/>
      <c r="AV89" s="80"/>
      <c r="AW89" s="80"/>
      <c r="AX89" s="80"/>
      <c r="AY89" s="80"/>
      <c r="AZ89" s="80"/>
      <c r="BA89" s="80"/>
      <c r="BB89" s="80"/>
      <c r="BC89" s="80"/>
      <c r="BD89" s="80"/>
    </row>
    <row r="90" spans="1:56" s="82" customFormat="1" ht="14.25" hidden="1" customHeight="1" outlineLevel="1" x14ac:dyDescent="0.25">
      <c r="A90" s="83"/>
      <c r="B90" s="348"/>
      <c r="C90" s="86"/>
      <c r="D90" s="87"/>
      <c r="E90" s="88"/>
      <c r="F90" s="89"/>
      <c r="G90" s="90"/>
      <c r="H90" s="84">
        <v>2</v>
      </c>
      <c r="I90" s="81" t="s">
        <v>144</v>
      </c>
      <c r="J90" s="81">
        <v>8040000</v>
      </c>
      <c r="K90" s="18">
        <f t="shared" si="11"/>
        <v>0</v>
      </c>
      <c r="L90" s="121">
        <f t="shared" si="12"/>
        <v>0</v>
      </c>
      <c r="M90" s="80"/>
      <c r="N90" s="80"/>
      <c r="O90" s="80"/>
      <c r="P90" s="80"/>
      <c r="Q90" s="80"/>
      <c r="R90" s="80"/>
      <c r="S90" s="80"/>
      <c r="T90" s="80"/>
      <c r="U90" s="80"/>
      <c r="V90" s="80"/>
      <c r="W90" s="80"/>
      <c r="X90" s="80"/>
      <c r="Y90" s="80"/>
      <c r="Z90" s="80"/>
      <c r="AA90" s="80"/>
      <c r="AB90" s="80"/>
      <c r="AC90" s="80"/>
      <c r="AD90" s="80"/>
      <c r="AE90" s="80"/>
      <c r="AF90" s="80"/>
      <c r="AG90" s="80"/>
      <c r="AH90" s="80"/>
      <c r="AI90" s="80"/>
      <c r="AJ90" s="80"/>
      <c r="AK90" s="80"/>
      <c r="AL90" s="80"/>
      <c r="AM90" s="80"/>
      <c r="AN90" s="80"/>
      <c r="AO90" s="80"/>
      <c r="AP90" s="80"/>
      <c r="AQ90" s="80"/>
      <c r="AR90" s="80"/>
      <c r="AS90" s="80"/>
      <c r="AT90" s="80"/>
      <c r="AU90" s="80"/>
      <c r="AV90" s="80"/>
      <c r="AW90" s="80"/>
      <c r="AX90" s="80"/>
      <c r="AY90" s="80"/>
      <c r="AZ90" s="80"/>
      <c r="BA90" s="80"/>
      <c r="BB90" s="80"/>
      <c r="BC90" s="80"/>
      <c r="BD90" s="80"/>
    </row>
    <row r="91" spans="1:56" s="82" customFormat="1" ht="14.25" hidden="1" customHeight="1" outlineLevel="1" x14ac:dyDescent="0.25">
      <c r="A91" s="83"/>
      <c r="B91" s="348"/>
      <c r="C91" s="86"/>
      <c r="D91" s="87"/>
      <c r="E91" s="88"/>
      <c r="F91" s="89"/>
      <c r="G91" s="90"/>
      <c r="H91" s="84">
        <v>3</v>
      </c>
      <c r="I91" s="81" t="s">
        <v>145</v>
      </c>
      <c r="J91" s="81">
        <v>4964236</v>
      </c>
      <c r="K91" s="18">
        <f t="shared" si="11"/>
        <v>0</v>
      </c>
      <c r="L91" s="121">
        <f t="shared" si="12"/>
        <v>0</v>
      </c>
      <c r="M91" s="80"/>
      <c r="N91" s="80"/>
      <c r="O91" s="80"/>
      <c r="P91" s="80"/>
      <c r="Q91" s="80"/>
      <c r="R91" s="80"/>
      <c r="S91" s="80"/>
      <c r="T91" s="80"/>
      <c r="U91" s="80"/>
      <c r="V91" s="80"/>
      <c r="W91" s="80"/>
      <c r="X91" s="80"/>
      <c r="Y91" s="80"/>
      <c r="Z91" s="80"/>
      <c r="AA91" s="80"/>
      <c r="AB91" s="80"/>
      <c r="AC91" s="80"/>
      <c r="AD91" s="80"/>
      <c r="AE91" s="80"/>
      <c r="AF91" s="80"/>
      <c r="AG91" s="80"/>
      <c r="AH91" s="80"/>
      <c r="AI91" s="80"/>
      <c r="AJ91" s="80"/>
      <c r="AK91" s="80"/>
      <c r="AL91" s="80"/>
      <c r="AM91" s="80"/>
      <c r="AN91" s="80"/>
      <c r="AO91" s="80"/>
      <c r="AP91" s="80"/>
      <c r="AQ91" s="80"/>
      <c r="AR91" s="80"/>
      <c r="AS91" s="80"/>
      <c r="AT91" s="80"/>
      <c r="AU91" s="80"/>
      <c r="AV91" s="80"/>
      <c r="AW91" s="80"/>
      <c r="AX91" s="80"/>
      <c r="AY91" s="80"/>
      <c r="AZ91" s="80"/>
      <c r="BA91" s="80"/>
      <c r="BB91" s="80"/>
      <c r="BC91" s="80"/>
      <c r="BD91" s="80"/>
    </row>
    <row r="92" spans="1:56" s="82" customFormat="1" ht="14.25" hidden="1" customHeight="1" outlineLevel="1" x14ac:dyDescent="0.25">
      <c r="A92" s="83"/>
      <c r="B92" s="348"/>
      <c r="C92" s="86"/>
      <c r="D92" s="87"/>
      <c r="E92" s="88"/>
      <c r="F92" s="89"/>
      <c r="G92" s="90"/>
      <c r="H92" s="84">
        <v>1</v>
      </c>
      <c r="I92" s="81" t="s">
        <v>11</v>
      </c>
      <c r="J92" s="81">
        <v>142000</v>
      </c>
      <c r="K92" s="18">
        <f t="shared" si="11"/>
        <v>0</v>
      </c>
      <c r="L92" s="121">
        <f t="shared" si="12"/>
        <v>0</v>
      </c>
      <c r="M92" s="80"/>
      <c r="N92" s="80"/>
      <c r="O92" s="80"/>
      <c r="P92" s="80"/>
      <c r="Q92" s="80"/>
      <c r="R92" s="80"/>
      <c r="S92" s="80"/>
      <c r="T92" s="80"/>
      <c r="U92" s="80"/>
      <c r="V92" s="80"/>
      <c r="W92" s="80"/>
      <c r="X92" s="80"/>
      <c r="Y92" s="80"/>
      <c r="Z92" s="80"/>
      <c r="AA92" s="80"/>
      <c r="AB92" s="80"/>
      <c r="AC92" s="80"/>
      <c r="AD92" s="80"/>
      <c r="AE92" s="80"/>
      <c r="AF92" s="80"/>
      <c r="AG92" s="80"/>
      <c r="AH92" s="80"/>
      <c r="AI92" s="80"/>
      <c r="AJ92" s="80"/>
      <c r="AK92" s="80"/>
      <c r="AL92" s="80"/>
      <c r="AM92" s="80"/>
      <c r="AN92" s="80"/>
      <c r="AO92" s="80"/>
      <c r="AP92" s="80"/>
      <c r="AQ92" s="80"/>
      <c r="AR92" s="80"/>
      <c r="AS92" s="80"/>
      <c r="AT92" s="80"/>
      <c r="AU92" s="80"/>
      <c r="AV92" s="80"/>
      <c r="AW92" s="80"/>
      <c r="AX92" s="80"/>
      <c r="AY92" s="80"/>
      <c r="AZ92" s="80"/>
      <c r="BA92" s="80"/>
      <c r="BB92" s="80"/>
      <c r="BC92" s="80"/>
      <c r="BD92" s="80"/>
    </row>
    <row r="93" spans="1:56" s="98" customFormat="1" collapsed="1" x14ac:dyDescent="0.25">
      <c r="A93" s="189" t="s">
        <v>264</v>
      </c>
      <c r="B93" s="348"/>
      <c r="C93" s="92"/>
      <c r="D93" s="155"/>
      <c r="E93" s="156" t="s">
        <v>223</v>
      </c>
      <c r="F93" s="157">
        <v>-26418736</v>
      </c>
      <c r="G93" s="185">
        <v>0</v>
      </c>
      <c r="H93" s="321">
        <v>0</v>
      </c>
      <c r="I93" s="322"/>
      <c r="J93" s="323"/>
      <c r="K93" s="96">
        <f t="shared" si="11"/>
        <v>-26418736</v>
      </c>
      <c r="L93" s="97">
        <f t="shared" si="12"/>
        <v>-26418736</v>
      </c>
      <c r="M93" s="96">
        <v>-19586236</v>
      </c>
      <c r="N93" s="96"/>
      <c r="O93" s="96"/>
      <c r="P93" s="96"/>
      <c r="Q93" s="96"/>
      <c r="R93" s="96"/>
      <c r="S93" s="96"/>
      <c r="T93" s="96">
        <v>-6832500</v>
      </c>
      <c r="U93" s="96"/>
      <c r="V93" s="96"/>
      <c r="W93" s="96"/>
      <c r="X93" s="96"/>
      <c r="Y93" s="96"/>
      <c r="Z93" s="96"/>
      <c r="AA93" s="96"/>
      <c r="AB93" s="96"/>
      <c r="AC93" s="96"/>
      <c r="AD93" s="96"/>
      <c r="AE93" s="96"/>
      <c r="AF93" s="96"/>
      <c r="AG93" s="96"/>
      <c r="AH93" s="96"/>
      <c r="AI93" s="96"/>
      <c r="AJ93" s="96"/>
      <c r="AK93" s="96"/>
      <c r="AL93" s="96"/>
      <c r="AM93" s="96"/>
      <c r="AN93" s="96"/>
      <c r="AO93" s="96"/>
      <c r="AP93" s="96"/>
      <c r="AQ93" s="96"/>
      <c r="AR93" s="96"/>
      <c r="AS93" s="96"/>
      <c r="AT93" s="96"/>
      <c r="AU93" s="96"/>
      <c r="AV93" s="96"/>
      <c r="AW93" s="96"/>
      <c r="AX93" s="96"/>
      <c r="AY93" s="96"/>
      <c r="AZ93" s="96"/>
      <c r="BA93" s="96"/>
      <c r="BB93" s="96"/>
      <c r="BC93" s="96"/>
      <c r="BD93" s="96"/>
    </row>
    <row r="94" spans="1:56" s="125" customFormat="1" ht="15.75" customHeight="1" x14ac:dyDescent="0.25">
      <c r="A94" s="120"/>
      <c r="B94" s="349"/>
      <c r="C94" s="122" t="s">
        <v>218</v>
      </c>
      <c r="D94" s="123" t="s">
        <v>219</v>
      </c>
      <c r="E94" s="35" t="s">
        <v>220</v>
      </c>
      <c r="F94" s="115">
        <v>142000</v>
      </c>
      <c r="G94" s="188">
        <v>0</v>
      </c>
      <c r="H94" s="300">
        <v>142000</v>
      </c>
      <c r="I94" s="301"/>
      <c r="J94" s="302"/>
      <c r="K94" s="18">
        <f t="shared" ref="K94:K101" si="13">F94-G94</f>
        <v>142000</v>
      </c>
      <c r="L94" s="115">
        <f t="shared" ref="L94:L102" si="14">SUM(M94:BD94)</f>
        <v>142000</v>
      </c>
      <c r="M94" s="115">
        <v>142000</v>
      </c>
      <c r="N94" s="124"/>
      <c r="O94" s="124"/>
      <c r="P94" s="124"/>
      <c r="Q94" s="124"/>
      <c r="R94" s="124"/>
      <c r="S94" s="124"/>
      <c r="T94" s="124"/>
      <c r="U94" s="124"/>
      <c r="V94" s="124"/>
      <c r="W94" s="124"/>
      <c r="X94" s="124"/>
      <c r="Y94" s="124"/>
      <c r="Z94" s="124"/>
      <c r="AA94" s="124"/>
      <c r="AB94" s="124"/>
      <c r="AC94" s="124"/>
      <c r="AD94" s="124"/>
      <c r="AE94" s="124"/>
      <c r="AF94" s="124"/>
      <c r="AG94" s="124"/>
      <c r="AH94" s="124"/>
      <c r="AI94" s="124"/>
      <c r="AJ94" s="124"/>
      <c r="AK94" s="124"/>
      <c r="AL94" s="124"/>
      <c r="AM94" s="124"/>
      <c r="AN94" s="124"/>
      <c r="AO94" s="124"/>
      <c r="AP94" s="124"/>
      <c r="AQ94" s="124"/>
      <c r="AR94" s="124"/>
      <c r="AS94" s="124"/>
      <c r="AT94" s="124"/>
      <c r="AU94" s="124"/>
      <c r="AV94" s="124"/>
      <c r="AW94" s="124"/>
      <c r="AX94" s="124"/>
      <c r="AY94" s="124"/>
      <c r="AZ94" s="124"/>
      <c r="BA94" s="124"/>
      <c r="BB94" s="124"/>
      <c r="BC94" s="124"/>
      <c r="BD94" s="124"/>
    </row>
    <row r="95" spans="1:56" s="19" customFormat="1" x14ac:dyDescent="0.25">
      <c r="A95" s="73"/>
      <c r="B95" s="51" t="s">
        <v>118</v>
      </c>
      <c r="C95" s="61" t="s">
        <v>79</v>
      </c>
      <c r="D95" s="50" t="s">
        <v>52</v>
      </c>
      <c r="E95" s="59" t="s">
        <v>119</v>
      </c>
      <c r="F95" s="55">
        <v>4841100</v>
      </c>
      <c r="G95" s="175">
        <f>772400+342100+400900+342100+1080400+1903200</f>
        <v>4841100</v>
      </c>
      <c r="H95" s="300">
        <f>284970</f>
        <v>284970</v>
      </c>
      <c r="I95" s="301"/>
      <c r="J95" s="302"/>
      <c r="K95" s="18">
        <f t="shared" si="13"/>
        <v>0</v>
      </c>
      <c r="L95" s="55">
        <f t="shared" si="14"/>
        <v>0</v>
      </c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  <c r="AA95" s="18"/>
      <c r="AB95" s="18"/>
      <c r="AC95" s="18"/>
      <c r="AD95" s="18"/>
      <c r="AE95" s="18"/>
      <c r="AF95" s="18"/>
      <c r="AG95" s="18"/>
      <c r="AH95" s="18"/>
      <c r="AI95" s="18"/>
      <c r="AJ95" s="18"/>
      <c r="AK95" s="18"/>
      <c r="AL95" s="18"/>
      <c r="AM95" s="18"/>
      <c r="AN95" s="18"/>
      <c r="AO95" s="18"/>
      <c r="AP95" s="18"/>
      <c r="AQ95" s="18"/>
      <c r="AR95" s="18"/>
      <c r="AS95" s="18"/>
      <c r="AT95" s="18"/>
      <c r="AU95" s="18"/>
      <c r="AV95" s="18"/>
      <c r="AW95" s="18"/>
      <c r="AX95" s="18"/>
      <c r="AY95" s="18"/>
      <c r="AZ95" s="18"/>
      <c r="BA95" s="18"/>
      <c r="BB95" s="18"/>
      <c r="BC95" s="18"/>
      <c r="BD95" s="18"/>
    </row>
    <row r="96" spans="1:56" s="19" customFormat="1" ht="15" customHeight="1" x14ac:dyDescent="0.25">
      <c r="A96" s="73"/>
      <c r="B96" s="51" t="s">
        <v>125</v>
      </c>
      <c r="C96" s="61">
        <v>3</v>
      </c>
      <c r="D96" s="50" t="s">
        <v>252</v>
      </c>
      <c r="E96" s="49" t="s">
        <v>84</v>
      </c>
      <c r="F96" s="54">
        <v>290930.33</v>
      </c>
      <c r="G96" s="168">
        <f>145465.17+145465.17</f>
        <v>290930.34000000003</v>
      </c>
      <c r="H96" s="341">
        <f>290930.33</f>
        <v>290930.33</v>
      </c>
      <c r="I96" s="342"/>
      <c r="J96" s="343"/>
      <c r="K96" s="18">
        <f t="shared" si="13"/>
        <v>-1.0000000009313226E-2</v>
      </c>
      <c r="L96" s="55">
        <f t="shared" si="14"/>
        <v>0</v>
      </c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  <c r="AC96" s="18"/>
      <c r="AD96" s="18"/>
      <c r="AE96" s="18"/>
      <c r="AF96" s="18"/>
      <c r="AG96" s="18"/>
      <c r="AH96" s="18"/>
      <c r="AI96" s="18"/>
      <c r="AJ96" s="18"/>
      <c r="AK96" s="18"/>
      <c r="AL96" s="18"/>
      <c r="AM96" s="18"/>
      <c r="AN96" s="18"/>
      <c r="AO96" s="18"/>
      <c r="AP96" s="18"/>
      <c r="AQ96" s="18"/>
      <c r="AR96" s="18"/>
      <c r="AS96" s="18"/>
      <c r="AT96" s="18"/>
      <c r="AU96" s="18"/>
      <c r="AV96" s="18"/>
      <c r="AW96" s="18"/>
      <c r="AX96" s="18"/>
      <c r="AY96" s="18"/>
      <c r="AZ96" s="18"/>
      <c r="BA96" s="18"/>
      <c r="BB96" s="18"/>
      <c r="BC96" s="18"/>
      <c r="BD96" s="18"/>
    </row>
    <row r="97" spans="1:56" s="19" customFormat="1" ht="15" customHeight="1" x14ac:dyDescent="0.25">
      <c r="A97" s="85"/>
      <c r="B97" s="350" t="s">
        <v>107</v>
      </c>
      <c r="C97" s="17" t="s">
        <v>150</v>
      </c>
      <c r="D97" s="50" t="s">
        <v>151</v>
      </c>
      <c r="E97" s="49" t="s">
        <v>106</v>
      </c>
      <c r="F97" s="54">
        <v>111333150</v>
      </c>
      <c r="G97" s="168">
        <v>0</v>
      </c>
      <c r="H97" s="300">
        <v>0</v>
      </c>
      <c r="I97" s="301"/>
      <c r="J97" s="302"/>
      <c r="K97" s="18">
        <f t="shared" si="13"/>
        <v>111333150</v>
      </c>
      <c r="L97" s="55">
        <f t="shared" si="14"/>
        <v>111333150</v>
      </c>
      <c r="M97" s="18"/>
      <c r="N97" s="18">
        <v>15000000</v>
      </c>
      <c r="O97" s="18">
        <v>15000000</v>
      </c>
      <c r="P97" s="18">
        <v>15000000</v>
      </c>
      <c r="Q97" s="18">
        <v>15000000</v>
      </c>
      <c r="R97" s="18">
        <v>10000000</v>
      </c>
      <c r="S97" s="18">
        <v>10000000</v>
      </c>
      <c r="T97" s="18">
        <v>10000000</v>
      </c>
      <c r="U97" s="18">
        <v>10000000</v>
      </c>
      <c r="V97" s="18">
        <v>11333150</v>
      </c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18"/>
      <c r="AO97" s="18"/>
      <c r="AP97" s="18"/>
      <c r="AQ97" s="18"/>
      <c r="AR97" s="18"/>
      <c r="AS97" s="18"/>
      <c r="AT97" s="18"/>
      <c r="AU97" s="18"/>
      <c r="AV97" s="18"/>
      <c r="AW97" s="18"/>
      <c r="AX97" s="18"/>
      <c r="AY97" s="18"/>
      <c r="AZ97" s="18"/>
      <c r="BA97" s="18"/>
      <c r="BB97" s="18"/>
      <c r="BC97" s="18"/>
      <c r="BD97" s="18"/>
    </row>
    <row r="98" spans="1:56" s="98" customFormat="1" ht="15" customHeight="1" x14ac:dyDescent="0.25">
      <c r="A98" s="189" t="s">
        <v>264</v>
      </c>
      <c r="B98" s="351"/>
      <c r="C98" s="92" t="s">
        <v>153</v>
      </c>
      <c r="D98" s="93" t="s">
        <v>151</v>
      </c>
      <c r="E98" s="94" t="s">
        <v>152</v>
      </c>
      <c r="F98" s="95">
        <f>-F97*0.4</f>
        <v>-44533260</v>
      </c>
      <c r="G98" s="186">
        <v>0</v>
      </c>
      <c r="H98" s="321">
        <v>0</v>
      </c>
      <c r="I98" s="322"/>
      <c r="J98" s="323"/>
      <c r="K98" s="96">
        <f t="shared" si="13"/>
        <v>-44533260</v>
      </c>
      <c r="L98" s="97">
        <f t="shared" si="14"/>
        <v>-44533260</v>
      </c>
      <c r="M98" s="96"/>
      <c r="N98" s="96">
        <v>-10000000</v>
      </c>
      <c r="O98" s="96"/>
      <c r="P98" s="96"/>
      <c r="Q98" s="96">
        <v>-15000000</v>
      </c>
      <c r="R98" s="96"/>
      <c r="S98" s="96"/>
      <c r="T98" s="96">
        <v>-15000000</v>
      </c>
      <c r="U98" s="96"/>
      <c r="V98" s="96"/>
      <c r="W98" s="96">
        <v>-4533260</v>
      </c>
      <c r="X98" s="96"/>
      <c r="Y98" s="96"/>
      <c r="Z98" s="96"/>
      <c r="AA98" s="96"/>
      <c r="AB98" s="96"/>
      <c r="AC98" s="96"/>
      <c r="AD98" s="96"/>
      <c r="AE98" s="96"/>
      <c r="AF98" s="96"/>
      <c r="AG98" s="96"/>
      <c r="AH98" s="96"/>
      <c r="AI98" s="96"/>
      <c r="AJ98" s="96"/>
      <c r="AK98" s="96"/>
      <c r="AL98" s="96"/>
      <c r="AM98" s="96"/>
      <c r="AN98" s="96"/>
      <c r="AO98" s="96"/>
      <c r="AP98" s="96"/>
      <c r="AQ98" s="96"/>
      <c r="AR98" s="96"/>
      <c r="AS98" s="96"/>
      <c r="AT98" s="96"/>
      <c r="AU98" s="96"/>
      <c r="AV98" s="96"/>
      <c r="AW98" s="96"/>
      <c r="AX98" s="96"/>
      <c r="AY98" s="96"/>
      <c r="AZ98" s="96"/>
      <c r="BA98" s="96"/>
      <c r="BB98" s="96"/>
      <c r="BC98" s="96"/>
      <c r="BD98" s="96"/>
    </row>
    <row r="99" spans="1:56" s="133" customFormat="1" ht="15.75" customHeight="1" x14ac:dyDescent="0.25">
      <c r="A99" s="129"/>
      <c r="B99" s="149" t="s">
        <v>100</v>
      </c>
      <c r="C99" s="131"/>
      <c r="D99" s="132"/>
      <c r="E99" s="42"/>
      <c r="F99" s="148"/>
      <c r="G99" s="148"/>
      <c r="H99" s="116"/>
      <c r="I99" s="117"/>
      <c r="J99" s="118"/>
      <c r="K99" s="18">
        <f t="shared" si="13"/>
        <v>0</v>
      </c>
      <c r="L99" s="115">
        <f t="shared" si="14"/>
        <v>0</v>
      </c>
      <c r="M99" s="148"/>
      <c r="N99" s="148"/>
      <c r="O99" s="148"/>
      <c r="P99" s="148"/>
      <c r="Q99" s="148"/>
      <c r="R99" s="148"/>
      <c r="S99" s="148"/>
      <c r="T99" s="148"/>
      <c r="U99" s="148"/>
      <c r="V99" s="148"/>
      <c r="W99" s="148"/>
      <c r="X99" s="148"/>
      <c r="Y99" s="148"/>
      <c r="Z99" s="148"/>
      <c r="AA99" s="148"/>
      <c r="AB99" s="148"/>
      <c r="AC99" s="148"/>
      <c r="AD99" s="148"/>
      <c r="AE99" s="148"/>
      <c r="AF99" s="148"/>
      <c r="AG99" s="148"/>
      <c r="AH99" s="148"/>
      <c r="AI99" s="148"/>
      <c r="AJ99" s="148"/>
      <c r="AK99" s="148"/>
      <c r="AL99" s="148"/>
      <c r="AM99" s="148"/>
      <c r="AN99" s="148"/>
      <c r="AO99" s="148"/>
      <c r="AP99" s="148"/>
      <c r="AQ99" s="148"/>
      <c r="AR99" s="148"/>
      <c r="AS99" s="148"/>
      <c r="AT99" s="148"/>
      <c r="AU99" s="148"/>
      <c r="AV99" s="148"/>
      <c r="AW99" s="148"/>
      <c r="AX99" s="148"/>
      <c r="AY99" s="148"/>
      <c r="AZ99" s="148"/>
      <c r="BA99" s="148"/>
      <c r="BB99" s="148"/>
      <c r="BC99" s="148"/>
      <c r="BD99" s="148"/>
    </row>
    <row r="100" spans="1:56" s="5" customFormat="1" ht="15.75" customHeight="1" x14ac:dyDescent="0.25">
      <c r="A100" s="137" t="s">
        <v>201</v>
      </c>
      <c r="B100" s="136"/>
      <c r="C100" s="147">
        <f>2168100000+182000000+170200000</f>
        <v>2520300000</v>
      </c>
      <c r="D100" s="9"/>
      <c r="E100" s="10"/>
      <c r="F100" s="11"/>
      <c r="G100" s="11"/>
      <c r="H100" s="112"/>
      <c r="I100" s="113"/>
      <c r="J100" s="114"/>
      <c r="K100" s="18">
        <f t="shared" si="13"/>
        <v>0</v>
      </c>
      <c r="L100" s="115">
        <f t="shared" si="14"/>
        <v>0</v>
      </c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  <c r="AY100" s="11"/>
      <c r="AZ100" s="11"/>
      <c r="BA100" s="11"/>
      <c r="BB100" s="11"/>
      <c r="BC100" s="11"/>
      <c r="BD100" s="11"/>
    </row>
    <row r="101" spans="1:56" s="19" customFormat="1" collapsed="1" x14ac:dyDescent="0.25">
      <c r="A101" s="56"/>
      <c r="B101" s="327" t="s">
        <v>9</v>
      </c>
      <c r="C101" s="17" t="s">
        <v>263</v>
      </c>
      <c r="D101" s="30" t="s">
        <v>42</v>
      </c>
      <c r="E101" s="17" t="s">
        <v>25</v>
      </c>
      <c r="F101" s="18">
        <v>5449383914.5200005</v>
      </c>
      <c r="G101" s="169">
        <f>13100+30000+40840+453560+2110.6+387985+284914.92+5250.84+20086.51+179536.9+1370223.44+193499.44+42831.64+40000</f>
        <v>3063939.29</v>
      </c>
      <c r="H101" s="300">
        <f>SUM(J102:J105)</f>
        <v>14798560</v>
      </c>
      <c r="I101" s="301"/>
      <c r="J101" s="302"/>
      <c r="K101" s="18">
        <f t="shared" si="13"/>
        <v>5446319975.2300005</v>
      </c>
      <c r="L101" s="55">
        <f t="shared" si="14"/>
        <v>0</v>
      </c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  <c r="AA101" s="18"/>
      <c r="AB101" s="18"/>
      <c r="AC101" s="18"/>
      <c r="AD101" s="18"/>
      <c r="AE101" s="18"/>
      <c r="AF101" s="18"/>
      <c r="AG101" s="18"/>
      <c r="AH101" s="18"/>
      <c r="AI101" s="18"/>
      <c r="AJ101" s="18"/>
      <c r="AK101" s="18"/>
      <c r="AL101" s="18"/>
      <c r="AM101" s="18"/>
      <c r="AN101" s="18"/>
      <c r="AO101" s="18"/>
      <c r="AP101" s="18"/>
      <c r="AQ101" s="18"/>
      <c r="AR101" s="18"/>
      <c r="AS101" s="18"/>
      <c r="AT101" s="18"/>
      <c r="AU101" s="18"/>
      <c r="AV101" s="18"/>
      <c r="AW101" s="18"/>
      <c r="AX101" s="18"/>
      <c r="AY101" s="18"/>
      <c r="AZ101" s="18"/>
      <c r="BA101" s="18"/>
      <c r="BB101" s="18"/>
      <c r="BC101" s="18"/>
      <c r="BD101" s="18"/>
    </row>
    <row r="102" spans="1:56" s="82" customFormat="1" ht="11.25" hidden="1" customHeight="1" outlineLevel="1" x14ac:dyDescent="0.25">
      <c r="A102" s="83"/>
      <c r="B102" s="328"/>
      <c r="C102" s="78"/>
      <c r="D102" s="79"/>
      <c r="E102" s="78"/>
      <c r="F102" s="80"/>
      <c r="G102" s="80"/>
      <c r="H102" s="84"/>
      <c r="I102" s="84" t="s">
        <v>143</v>
      </c>
      <c r="J102" s="80">
        <v>6581680</v>
      </c>
      <c r="K102" s="80">
        <f t="shared" ref="K102:K156" si="15">F102-G102</f>
        <v>0</v>
      </c>
      <c r="L102" s="55">
        <f t="shared" si="14"/>
        <v>0</v>
      </c>
      <c r="M102" s="80"/>
      <c r="N102" s="80"/>
      <c r="O102" s="80"/>
      <c r="P102" s="80"/>
      <c r="Q102" s="80"/>
      <c r="R102" s="80"/>
      <c r="S102" s="80"/>
      <c r="T102" s="80"/>
      <c r="U102" s="80"/>
      <c r="V102" s="80"/>
      <c r="W102" s="80"/>
      <c r="X102" s="80"/>
      <c r="Y102" s="80"/>
      <c r="Z102" s="80"/>
      <c r="AA102" s="80"/>
      <c r="AB102" s="80"/>
      <c r="AC102" s="80"/>
      <c r="AD102" s="80"/>
      <c r="AE102" s="80"/>
      <c r="AF102" s="80"/>
      <c r="AG102" s="80"/>
      <c r="AH102" s="80"/>
      <c r="AI102" s="80"/>
      <c r="AJ102" s="80"/>
      <c r="AK102" s="80"/>
      <c r="AL102" s="80"/>
      <c r="AM102" s="80"/>
      <c r="AN102" s="80"/>
      <c r="AO102" s="80"/>
      <c r="AP102" s="80"/>
      <c r="AQ102" s="80"/>
      <c r="AR102" s="80"/>
      <c r="AS102" s="80"/>
      <c r="AT102" s="80"/>
      <c r="AU102" s="80"/>
      <c r="AV102" s="80"/>
      <c r="AW102" s="80"/>
      <c r="AX102" s="80"/>
      <c r="AY102" s="80"/>
      <c r="AZ102" s="80"/>
      <c r="BA102" s="80"/>
      <c r="BB102" s="80"/>
      <c r="BC102" s="80"/>
      <c r="BD102" s="80"/>
    </row>
    <row r="103" spans="1:56" s="82" customFormat="1" ht="11.25" hidden="1" customHeight="1" outlineLevel="1" x14ac:dyDescent="0.25">
      <c r="A103" s="83"/>
      <c r="B103" s="328"/>
      <c r="C103" s="78"/>
      <c r="D103" s="79"/>
      <c r="E103" s="78"/>
      <c r="F103" s="80"/>
      <c r="G103" s="80"/>
      <c r="H103" s="84"/>
      <c r="I103" s="84" t="s">
        <v>144</v>
      </c>
      <c r="J103" s="80">
        <v>8216880</v>
      </c>
      <c r="K103" s="80"/>
      <c r="L103" s="166"/>
      <c r="M103" s="80"/>
      <c r="N103" s="80"/>
      <c r="O103" s="80"/>
      <c r="P103" s="80"/>
      <c r="Q103" s="80"/>
      <c r="R103" s="80"/>
      <c r="S103" s="80"/>
      <c r="T103" s="80"/>
      <c r="U103" s="80"/>
      <c r="V103" s="80"/>
      <c r="W103" s="80"/>
      <c r="X103" s="80"/>
      <c r="Y103" s="80"/>
      <c r="Z103" s="80"/>
      <c r="AA103" s="80"/>
      <c r="AB103" s="80"/>
      <c r="AC103" s="80"/>
      <c r="AD103" s="80"/>
      <c r="AE103" s="80"/>
      <c r="AF103" s="80"/>
      <c r="AG103" s="80"/>
      <c r="AH103" s="80"/>
      <c r="AI103" s="80"/>
      <c r="AJ103" s="80"/>
      <c r="AK103" s="80"/>
      <c r="AL103" s="80"/>
      <c r="AM103" s="80"/>
      <c r="AN103" s="80"/>
      <c r="AO103" s="80"/>
      <c r="AP103" s="80"/>
      <c r="AQ103" s="80"/>
      <c r="AR103" s="80"/>
      <c r="AS103" s="80"/>
      <c r="AT103" s="80"/>
      <c r="AU103" s="80"/>
      <c r="AV103" s="80"/>
      <c r="AW103" s="80"/>
      <c r="AX103" s="80"/>
      <c r="AY103" s="80"/>
      <c r="AZ103" s="80"/>
      <c r="BA103" s="80"/>
      <c r="BB103" s="80"/>
      <c r="BC103" s="80"/>
      <c r="BD103" s="80"/>
    </row>
    <row r="104" spans="1:56" s="82" customFormat="1" ht="11.25" hidden="1" customHeight="1" outlineLevel="1" x14ac:dyDescent="0.25">
      <c r="A104" s="83"/>
      <c r="B104" s="328"/>
      <c r="C104" s="78"/>
      <c r="D104" s="79"/>
      <c r="E104" s="78"/>
      <c r="F104" s="80"/>
      <c r="G104" s="80"/>
      <c r="H104" s="84"/>
      <c r="I104" s="84"/>
      <c r="J104" s="80"/>
      <c r="K104" s="80"/>
      <c r="L104" s="166"/>
      <c r="M104" s="80"/>
      <c r="N104" s="80"/>
      <c r="O104" s="80"/>
      <c r="P104" s="80"/>
      <c r="Q104" s="80"/>
      <c r="R104" s="80"/>
      <c r="S104" s="80"/>
      <c r="T104" s="80"/>
      <c r="U104" s="80"/>
      <c r="V104" s="80"/>
      <c r="W104" s="80"/>
      <c r="X104" s="80"/>
      <c r="Y104" s="80"/>
      <c r="Z104" s="80"/>
      <c r="AA104" s="80"/>
      <c r="AB104" s="80"/>
      <c r="AC104" s="80"/>
      <c r="AD104" s="80"/>
      <c r="AE104" s="80"/>
      <c r="AF104" s="80"/>
      <c r="AG104" s="80"/>
      <c r="AH104" s="80"/>
      <c r="AI104" s="80"/>
      <c r="AJ104" s="80"/>
      <c r="AK104" s="80"/>
      <c r="AL104" s="80"/>
      <c r="AM104" s="80"/>
      <c r="AN104" s="80"/>
      <c r="AO104" s="80"/>
      <c r="AP104" s="80"/>
      <c r="AQ104" s="80"/>
      <c r="AR104" s="80"/>
      <c r="AS104" s="80"/>
      <c r="AT104" s="80"/>
      <c r="AU104" s="80"/>
      <c r="AV104" s="80"/>
      <c r="AW104" s="80"/>
      <c r="AX104" s="80"/>
      <c r="AY104" s="80"/>
      <c r="AZ104" s="80"/>
      <c r="BA104" s="80"/>
      <c r="BB104" s="80"/>
      <c r="BC104" s="80"/>
      <c r="BD104" s="80"/>
    </row>
    <row r="105" spans="1:56" s="82" customFormat="1" ht="11.25" hidden="1" customHeight="1" outlineLevel="1" x14ac:dyDescent="0.25">
      <c r="A105" s="83"/>
      <c r="B105" s="328"/>
      <c r="C105" s="78"/>
      <c r="D105" s="79"/>
      <c r="E105" s="78"/>
      <c r="F105" s="80"/>
      <c r="G105" s="80"/>
      <c r="H105" s="84"/>
      <c r="I105" s="84"/>
      <c r="J105" s="80"/>
      <c r="K105" s="80">
        <f t="shared" si="15"/>
        <v>0</v>
      </c>
      <c r="L105" s="55">
        <f>SUM(M105:BD105)</f>
        <v>0</v>
      </c>
      <c r="M105" s="80"/>
      <c r="N105" s="80"/>
      <c r="O105" s="80"/>
      <c r="P105" s="80"/>
      <c r="Q105" s="80"/>
      <c r="R105" s="80"/>
      <c r="S105" s="80"/>
      <c r="T105" s="80"/>
      <c r="U105" s="80"/>
      <c r="V105" s="80"/>
      <c r="W105" s="80"/>
      <c r="X105" s="80"/>
      <c r="Y105" s="80"/>
      <c r="Z105" s="80"/>
      <c r="AA105" s="80"/>
      <c r="AB105" s="80"/>
      <c r="AC105" s="80"/>
      <c r="AD105" s="80"/>
      <c r="AE105" s="80"/>
      <c r="AF105" s="80"/>
      <c r="AG105" s="80"/>
      <c r="AH105" s="80"/>
      <c r="AI105" s="80"/>
      <c r="AJ105" s="80"/>
      <c r="AK105" s="80"/>
      <c r="AL105" s="80"/>
      <c r="AM105" s="80"/>
      <c r="AN105" s="80"/>
      <c r="AO105" s="80"/>
      <c r="AP105" s="80"/>
      <c r="AQ105" s="80"/>
      <c r="AR105" s="80"/>
      <c r="AS105" s="80"/>
      <c r="AT105" s="80"/>
      <c r="AU105" s="80"/>
      <c r="AV105" s="80"/>
      <c r="AW105" s="80"/>
      <c r="AX105" s="80"/>
      <c r="AY105" s="80"/>
      <c r="AZ105" s="80"/>
      <c r="BA105" s="80"/>
      <c r="BB105" s="80"/>
      <c r="BC105" s="80"/>
      <c r="BD105" s="80"/>
    </row>
    <row r="106" spans="1:56" s="19" customFormat="1" collapsed="1" x14ac:dyDescent="0.25">
      <c r="A106" s="60"/>
      <c r="B106" s="329"/>
      <c r="C106" s="17" t="s">
        <v>87</v>
      </c>
      <c r="D106" s="30"/>
      <c r="E106" s="17" t="s">
        <v>85</v>
      </c>
      <c r="F106" s="54">
        <f>10018555.58</f>
        <v>10018555.58</v>
      </c>
      <c r="G106" s="54">
        <f>1788919.22</f>
        <v>1788919.22</v>
      </c>
      <c r="H106" s="324"/>
      <c r="I106" s="325"/>
      <c r="J106" s="326"/>
      <c r="K106" s="18">
        <f t="shared" si="15"/>
        <v>8229636.3600000003</v>
      </c>
      <c r="L106" s="55">
        <f>SUM(M106:BD106)</f>
        <v>0</v>
      </c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8"/>
      <c r="AB106" s="18"/>
      <c r="AC106" s="18"/>
      <c r="AD106" s="18"/>
      <c r="AE106" s="18"/>
      <c r="AF106" s="18"/>
      <c r="AG106" s="18"/>
      <c r="AH106" s="18"/>
      <c r="AI106" s="18"/>
      <c r="AJ106" s="18"/>
      <c r="AK106" s="18"/>
      <c r="AL106" s="18"/>
      <c r="AM106" s="18"/>
      <c r="AN106" s="18"/>
      <c r="AO106" s="18"/>
      <c r="AP106" s="18"/>
      <c r="AQ106" s="18"/>
      <c r="AR106" s="18"/>
      <c r="AS106" s="18"/>
      <c r="AT106" s="18"/>
      <c r="AU106" s="18"/>
      <c r="AV106" s="18"/>
      <c r="AW106" s="18"/>
      <c r="AX106" s="18"/>
      <c r="AY106" s="18"/>
      <c r="AZ106" s="18"/>
      <c r="BA106" s="18"/>
      <c r="BB106" s="18"/>
      <c r="BC106" s="18"/>
      <c r="BD106" s="18"/>
    </row>
    <row r="107" spans="1:56" s="19" customFormat="1" x14ac:dyDescent="0.25">
      <c r="A107" s="85"/>
      <c r="B107" s="327" t="s">
        <v>53</v>
      </c>
      <c r="C107" s="17" t="s">
        <v>54</v>
      </c>
      <c r="D107" s="30" t="s">
        <v>55</v>
      </c>
      <c r="E107" s="17" t="s">
        <v>25</v>
      </c>
      <c r="F107" s="18">
        <f>1953149417+182000000</f>
        <v>2135149417</v>
      </c>
      <c r="G107" s="169">
        <v>0</v>
      </c>
      <c r="H107" s="300">
        <v>0</v>
      </c>
      <c r="I107" s="301"/>
      <c r="J107" s="302"/>
      <c r="K107" s="18">
        <f t="shared" si="15"/>
        <v>2135149417</v>
      </c>
      <c r="L107" s="55">
        <f>SUM(M107:BD107)</f>
        <v>2135149417</v>
      </c>
      <c r="M107" s="18">
        <f>1000000+1000000</f>
        <v>2000000</v>
      </c>
      <c r="N107" s="18">
        <v>1500000</v>
      </c>
      <c r="O107" s="18">
        <v>2000000</v>
      </c>
      <c r="P107" s="55">
        <f>1305*20000+3000000</f>
        <v>29100000</v>
      </c>
      <c r="Q107" s="18">
        <f>1740*20000+47549417/2+3500000</f>
        <v>62074708.5</v>
      </c>
      <c r="R107" s="18">
        <f>(1740+3468)*20000+4000000</f>
        <v>108160000</v>
      </c>
      <c r="S107" s="18">
        <f>(1740+3468)*20000+4500000</f>
        <v>108660000</v>
      </c>
      <c r="T107" s="18">
        <f>(2175+2643+3468)*20000+4500000</f>
        <v>170220000</v>
      </c>
      <c r="U107" s="18">
        <f>(2643+3468)*20000+4500000</f>
        <v>126720000</v>
      </c>
      <c r="V107" s="18">
        <f>(2643+3468)*20000+5000000</f>
        <v>127220000</v>
      </c>
      <c r="W107" s="18">
        <f>(2643+3468)*20000+47549417/2+5000000</f>
        <v>150994708.5</v>
      </c>
      <c r="X107" s="18">
        <f>3468*20000+5000000</f>
        <v>74360000</v>
      </c>
      <c r="Y107" s="18">
        <f>3468*20000+5000000</f>
        <v>74360000</v>
      </c>
      <c r="Z107" s="18">
        <f>3468*20000+5000000</f>
        <v>74360000</v>
      </c>
      <c r="AA107" s="18">
        <f>(3468+4086)*20000+5000000</f>
        <v>156080000</v>
      </c>
      <c r="AB107" s="18">
        <f>(3468+4086)*20000+5000000</f>
        <v>156080000</v>
      </c>
      <c r="AC107" s="18">
        <f>4086*20000+6000000</f>
        <v>87720000</v>
      </c>
      <c r="AD107" s="18">
        <f>4086*20000+7000000</f>
        <v>88720000</v>
      </c>
      <c r="AE107" s="18">
        <f>4086*20000+7000000</f>
        <v>88720000</v>
      </c>
      <c r="AF107" s="18">
        <f>4086*20000+7000000</f>
        <v>88720000</v>
      </c>
      <c r="AG107" s="18">
        <f>4086*20000+7000000</f>
        <v>88720000</v>
      </c>
      <c r="AH107" s="18">
        <f>4086*20000+6000000</f>
        <v>87720000</v>
      </c>
      <c r="AI107" s="18">
        <f>4086*20000+5000000</f>
        <v>86720000</v>
      </c>
      <c r="AJ107" s="18">
        <f>21720000+4500000</f>
        <v>26220000</v>
      </c>
      <c r="AK107" s="18">
        <v>4000000</v>
      </c>
      <c r="AL107" s="18">
        <v>4000000</v>
      </c>
      <c r="AM107" s="18">
        <v>4000000</v>
      </c>
      <c r="AN107" s="18">
        <v>4000000</v>
      </c>
      <c r="AO107" s="18">
        <v>4000000</v>
      </c>
      <c r="AP107" s="18">
        <v>4000000</v>
      </c>
      <c r="AQ107" s="18">
        <v>4000000</v>
      </c>
      <c r="AR107" s="18">
        <v>4000000</v>
      </c>
      <c r="AS107" s="18">
        <v>4000000</v>
      </c>
      <c r="AT107" s="18">
        <v>4000000</v>
      </c>
      <c r="AU107" s="18">
        <v>4000000</v>
      </c>
      <c r="AV107" s="18">
        <v>4000000</v>
      </c>
      <c r="AW107" s="18">
        <v>4000000</v>
      </c>
      <c r="AX107" s="18">
        <v>4000000</v>
      </c>
      <c r="AY107" s="18">
        <v>4000000</v>
      </c>
      <c r="AZ107" s="18">
        <v>4000000</v>
      </c>
      <c r="BA107" s="18">
        <v>4000000</v>
      </c>
      <c r="BB107" s="18"/>
      <c r="BC107" s="18"/>
      <c r="BD107" s="18"/>
    </row>
    <row r="108" spans="1:56" s="98" customFormat="1" x14ac:dyDescent="0.25">
      <c r="A108" s="189" t="s">
        <v>264</v>
      </c>
      <c r="B108" s="329"/>
      <c r="C108" s="92" t="s">
        <v>154</v>
      </c>
      <c r="D108" s="99" t="s">
        <v>55</v>
      </c>
      <c r="E108" s="92" t="s">
        <v>157</v>
      </c>
      <c r="F108" s="96">
        <v>-1158574709</v>
      </c>
      <c r="G108" s="187">
        <v>0</v>
      </c>
      <c r="H108" s="321">
        <v>0</v>
      </c>
      <c r="I108" s="322"/>
      <c r="J108" s="323"/>
      <c r="K108" s="96">
        <f>F108-G108</f>
        <v>-1158574709</v>
      </c>
      <c r="L108" s="97">
        <f>SUM(M108:BD108)</f>
        <v>-1158574708</v>
      </c>
      <c r="M108" s="96"/>
      <c r="N108" s="96"/>
      <c r="O108" s="96"/>
      <c r="P108" s="97"/>
      <c r="Q108" s="96">
        <v>-3500000</v>
      </c>
      <c r="R108" s="96"/>
      <c r="S108" s="96"/>
      <c r="T108" s="96">
        <v>-49484489</v>
      </c>
      <c r="U108" s="96"/>
      <c r="V108" s="96"/>
      <c r="W108" s="96">
        <v>-142837272</v>
      </c>
      <c r="X108" s="96"/>
      <c r="Y108" s="96"/>
      <c r="Z108" s="96">
        <v>-144928303</v>
      </c>
      <c r="AA108" s="96"/>
      <c r="AB108" s="96"/>
      <c r="AC108" s="96">
        <v>-142153433</v>
      </c>
      <c r="AD108" s="96"/>
      <c r="AE108" s="96"/>
      <c r="AF108" s="96">
        <v>-143153433</v>
      </c>
      <c r="AG108" s="96"/>
      <c r="AH108" s="96"/>
      <c r="AI108" s="96">
        <v>-143111138</v>
      </c>
      <c r="AJ108" s="96"/>
      <c r="AK108" s="96"/>
      <c r="AL108" s="96">
        <v>-130089990</v>
      </c>
      <c r="AM108" s="96"/>
      <c r="AN108" s="96"/>
      <c r="AO108" s="96">
        <v>-124589990</v>
      </c>
      <c r="AP108" s="96"/>
      <c r="AQ108" s="96"/>
      <c r="AR108" s="96">
        <v>-86726660</v>
      </c>
      <c r="AS108" s="96"/>
      <c r="AT108" s="96"/>
      <c r="AU108" s="96">
        <v>-12000000</v>
      </c>
      <c r="AV108" s="96"/>
      <c r="AW108" s="96"/>
      <c r="AX108" s="96">
        <v>-12000000</v>
      </c>
      <c r="AY108" s="96"/>
      <c r="AZ108" s="96"/>
      <c r="BA108" s="96">
        <v>-12000000</v>
      </c>
      <c r="BB108" s="96"/>
      <c r="BC108" s="96"/>
      <c r="BD108" s="96">
        <v>-12000000</v>
      </c>
    </row>
    <row r="109" spans="1:56" s="19" customFormat="1" x14ac:dyDescent="0.25">
      <c r="A109" s="60"/>
      <c r="B109" s="327" t="s">
        <v>13</v>
      </c>
      <c r="C109" s="17" t="s">
        <v>45</v>
      </c>
      <c r="D109" s="30" t="s">
        <v>44</v>
      </c>
      <c r="E109" s="17" t="s">
        <v>18</v>
      </c>
      <c r="F109" s="55">
        <f>150000*38</f>
        <v>5700000</v>
      </c>
      <c r="G109" s="174">
        <f>75000+32160+150024</f>
        <v>257184</v>
      </c>
      <c r="H109" s="300">
        <f>SUM(J110:J114)</f>
        <v>554736</v>
      </c>
      <c r="I109" s="301"/>
      <c r="J109" s="302"/>
      <c r="K109" s="18">
        <f t="shared" si="15"/>
        <v>5442816</v>
      </c>
      <c r="L109" s="55">
        <f>SUM(M109:BD109)</f>
        <v>5461032</v>
      </c>
      <c r="M109" s="18">
        <f>147528+150024</f>
        <v>297552</v>
      </c>
      <c r="N109" s="18">
        <v>147528</v>
      </c>
      <c r="O109" s="18">
        <v>147528</v>
      </c>
      <c r="P109" s="18">
        <v>147528</v>
      </c>
      <c r="Q109" s="18">
        <v>147528</v>
      </c>
      <c r="R109" s="18">
        <v>147528</v>
      </c>
      <c r="S109" s="18">
        <v>147528</v>
      </c>
      <c r="T109" s="18">
        <v>147528</v>
      </c>
      <c r="U109" s="18">
        <v>147528</v>
      </c>
      <c r="V109" s="18">
        <v>147528</v>
      </c>
      <c r="W109" s="18">
        <v>147528</v>
      </c>
      <c r="X109" s="18">
        <v>147528</v>
      </c>
      <c r="Y109" s="18">
        <v>147528</v>
      </c>
      <c r="Z109" s="18">
        <v>147528</v>
      </c>
      <c r="AA109" s="18">
        <v>147528</v>
      </c>
      <c r="AB109" s="18">
        <v>147528</v>
      </c>
      <c r="AC109" s="18">
        <v>147528</v>
      </c>
      <c r="AD109" s="18">
        <v>147528</v>
      </c>
      <c r="AE109" s="18">
        <v>147528</v>
      </c>
      <c r="AF109" s="18">
        <v>147528</v>
      </c>
      <c r="AG109" s="18">
        <v>147528</v>
      </c>
      <c r="AH109" s="18">
        <v>147528</v>
      </c>
      <c r="AI109" s="18">
        <v>147528</v>
      </c>
      <c r="AJ109" s="18">
        <v>147528</v>
      </c>
      <c r="AK109" s="18">
        <v>147528</v>
      </c>
      <c r="AL109" s="18">
        <v>147528</v>
      </c>
      <c r="AM109" s="18">
        <v>147528</v>
      </c>
      <c r="AN109" s="18">
        <v>147528</v>
      </c>
      <c r="AO109" s="18">
        <v>147528</v>
      </c>
      <c r="AP109" s="18">
        <v>147528</v>
      </c>
      <c r="AQ109" s="18">
        <v>147528</v>
      </c>
      <c r="AR109" s="18">
        <v>147528</v>
      </c>
      <c r="AS109" s="18">
        <v>147528</v>
      </c>
      <c r="AT109" s="18">
        <v>147528</v>
      </c>
      <c r="AU109" s="18">
        <v>147528</v>
      </c>
      <c r="AV109" s="18">
        <v>147528</v>
      </c>
      <c r="AW109" s="18"/>
      <c r="AX109" s="18"/>
      <c r="AY109" s="18"/>
      <c r="AZ109" s="18"/>
      <c r="BA109" s="18"/>
      <c r="BB109" s="18"/>
      <c r="BC109" s="18"/>
      <c r="BD109" s="18"/>
    </row>
    <row r="110" spans="1:56" s="82" customFormat="1" ht="11.25" hidden="1" customHeight="1" outlineLevel="1" x14ac:dyDescent="0.25">
      <c r="A110" s="83"/>
      <c r="B110" s="328"/>
      <c r="C110" s="78"/>
      <c r="D110" s="79"/>
      <c r="E110" s="78"/>
      <c r="F110" s="81"/>
      <c r="G110" s="176"/>
      <c r="H110" s="177">
        <v>1</v>
      </c>
      <c r="I110" s="178" t="s">
        <v>256</v>
      </c>
      <c r="J110" s="179">
        <v>107160</v>
      </c>
      <c r="K110" s="80"/>
      <c r="L110" s="81"/>
      <c r="M110" s="80"/>
      <c r="N110" s="80"/>
      <c r="O110" s="80"/>
      <c r="P110" s="80"/>
      <c r="Q110" s="80"/>
      <c r="R110" s="80"/>
      <c r="S110" s="80"/>
      <c r="T110" s="80"/>
      <c r="U110" s="80"/>
      <c r="V110" s="80"/>
      <c r="W110" s="80"/>
      <c r="X110" s="80"/>
      <c r="Y110" s="80"/>
      <c r="Z110" s="80"/>
      <c r="AA110" s="80"/>
      <c r="AB110" s="80"/>
      <c r="AC110" s="80"/>
      <c r="AD110" s="80"/>
      <c r="AE110" s="80"/>
      <c r="AF110" s="80"/>
      <c r="AG110" s="80"/>
      <c r="AH110" s="80"/>
      <c r="AI110" s="80"/>
      <c r="AJ110" s="80"/>
      <c r="AK110" s="80"/>
      <c r="AL110" s="80"/>
      <c r="AM110" s="80"/>
      <c r="AN110" s="80"/>
      <c r="AO110" s="80"/>
      <c r="AP110" s="80"/>
      <c r="AQ110" s="80"/>
      <c r="AR110" s="80"/>
      <c r="AS110" s="80"/>
      <c r="AT110" s="80"/>
      <c r="AU110" s="80"/>
      <c r="AV110" s="80"/>
      <c r="AW110" s="80"/>
      <c r="AX110" s="80"/>
      <c r="AY110" s="80"/>
      <c r="AZ110" s="80"/>
      <c r="BA110" s="80"/>
      <c r="BB110" s="80"/>
      <c r="BC110" s="80"/>
      <c r="BD110" s="80"/>
    </row>
    <row r="111" spans="1:56" s="82" customFormat="1" ht="11.25" hidden="1" customHeight="1" outlineLevel="1" x14ac:dyDescent="0.25">
      <c r="A111" s="83"/>
      <c r="B111" s="328"/>
      <c r="C111" s="78"/>
      <c r="D111" s="79"/>
      <c r="E111" s="78"/>
      <c r="F111" s="81"/>
      <c r="G111" s="176"/>
      <c r="H111" s="177">
        <v>2</v>
      </c>
      <c r="I111" s="178" t="s">
        <v>11</v>
      </c>
      <c r="J111" s="179">
        <v>150024</v>
      </c>
      <c r="K111" s="80"/>
      <c r="L111" s="81"/>
      <c r="M111" s="80"/>
      <c r="N111" s="80"/>
      <c r="O111" s="80"/>
      <c r="P111" s="80"/>
      <c r="Q111" s="80"/>
      <c r="R111" s="80"/>
      <c r="S111" s="80"/>
      <c r="T111" s="80"/>
      <c r="U111" s="80"/>
      <c r="V111" s="80"/>
      <c r="W111" s="80"/>
      <c r="X111" s="80"/>
      <c r="Y111" s="80"/>
      <c r="Z111" s="80"/>
      <c r="AA111" s="80"/>
      <c r="AB111" s="80"/>
      <c r="AC111" s="80"/>
      <c r="AD111" s="80"/>
      <c r="AE111" s="80"/>
      <c r="AF111" s="80"/>
      <c r="AG111" s="80"/>
      <c r="AH111" s="80"/>
      <c r="AI111" s="80"/>
      <c r="AJ111" s="80"/>
      <c r="AK111" s="80"/>
      <c r="AL111" s="80"/>
      <c r="AM111" s="80"/>
      <c r="AN111" s="80"/>
      <c r="AO111" s="80"/>
      <c r="AP111" s="80"/>
      <c r="AQ111" s="80"/>
      <c r="AR111" s="80"/>
      <c r="AS111" s="80"/>
      <c r="AT111" s="80"/>
      <c r="AU111" s="80"/>
      <c r="AV111" s="80"/>
      <c r="AW111" s="80"/>
      <c r="AX111" s="80"/>
      <c r="AY111" s="80"/>
      <c r="AZ111" s="80"/>
      <c r="BA111" s="80"/>
      <c r="BB111" s="80"/>
      <c r="BC111" s="80"/>
      <c r="BD111" s="80"/>
    </row>
    <row r="112" spans="1:56" s="82" customFormat="1" ht="11.25" hidden="1" customHeight="1" outlineLevel="1" x14ac:dyDescent="0.25">
      <c r="A112" s="83"/>
      <c r="B112" s="328"/>
      <c r="C112" s="78"/>
      <c r="D112" s="79"/>
      <c r="E112" s="78"/>
      <c r="F112" s="81"/>
      <c r="G112" s="176"/>
      <c r="H112" s="177">
        <v>3</v>
      </c>
      <c r="I112" s="178" t="s">
        <v>12</v>
      </c>
      <c r="J112" s="179">
        <v>147528</v>
      </c>
      <c r="K112" s="80"/>
      <c r="L112" s="81"/>
      <c r="M112" s="80"/>
      <c r="N112" s="80"/>
      <c r="O112" s="80"/>
      <c r="P112" s="80"/>
      <c r="Q112" s="80"/>
      <c r="R112" s="80"/>
      <c r="S112" s="80"/>
      <c r="T112" s="80"/>
      <c r="U112" s="80"/>
      <c r="V112" s="80"/>
      <c r="W112" s="80"/>
      <c r="X112" s="80"/>
      <c r="Y112" s="80"/>
      <c r="Z112" s="80"/>
      <c r="AA112" s="80"/>
      <c r="AB112" s="80"/>
      <c r="AC112" s="80"/>
      <c r="AD112" s="80"/>
      <c r="AE112" s="80"/>
      <c r="AF112" s="80"/>
      <c r="AG112" s="80"/>
      <c r="AH112" s="80"/>
      <c r="AI112" s="80"/>
      <c r="AJ112" s="80"/>
      <c r="AK112" s="80"/>
      <c r="AL112" s="80"/>
      <c r="AM112" s="80"/>
      <c r="AN112" s="80"/>
      <c r="AO112" s="80"/>
      <c r="AP112" s="80"/>
      <c r="AQ112" s="80"/>
      <c r="AR112" s="80"/>
      <c r="AS112" s="80"/>
      <c r="AT112" s="80"/>
      <c r="AU112" s="80"/>
      <c r="AV112" s="80"/>
      <c r="AW112" s="80"/>
      <c r="AX112" s="80"/>
      <c r="AY112" s="80"/>
      <c r="AZ112" s="80"/>
      <c r="BA112" s="80"/>
      <c r="BB112" s="80"/>
      <c r="BC112" s="80"/>
      <c r="BD112" s="80"/>
    </row>
    <row r="113" spans="1:56" s="82" customFormat="1" ht="11.25" hidden="1" customHeight="1" outlineLevel="1" x14ac:dyDescent="0.25">
      <c r="A113" s="83"/>
      <c r="B113" s="328"/>
      <c r="C113" s="78"/>
      <c r="D113" s="79"/>
      <c r="E113" s="78"/>
      <c r="F113" s="81"/>
      <c r="G113" s="176"/>
      <c r="H113" s="177">
        <v>4</v>
      </c>
      <c r="I113" s="178" t="s">
        <v>259</v>
      </c>
      <c r="J113" s="179">
        <v>150024</v>
      </c>
      <c r="K113" s="80"/>
      <c r="L113" s="81"/>
      <c r="M113" s="80"/>
      <c r="N113" s="80"/>
      <c r="O113" s="80"/>
      <c r="P113" s="80"/>
      <c r="Q113" s="80"/>
      <c r="R113" s="80"/>
      <c r="S113" s="80"/>
      <c r="T113" s="80"/>
      <c r="U113" s="80"/>
      <c r="V113" s="80"/>
      <c r="W113" s="80"/>
      <c r="X113" s="80"/>
      <c r="Y113" s="80"/>
      <c r="Z113" s="80"/>
      <c r="AA113" s="80"/>
      <c r="AB113" s="80"/>
      <c r="AC113" s="80"/>
      <c r="AD113" s="80"/>
      <c r="AE113" s="80"/>
      <c r="AF113" s="80"/>
      <c r="AG113" s="80"/>
      <c r="AH113" s="80"/>
      <c r="AI113" s="80"/>
      <c r="AJ113" s="80"/>
      <c r="AK113" s="80"/>
      <c r="AL113" s="80"/>
      <c r="AM113" s="80"/>
      <c r="AN113" s="80"/>
      <c r="AO113" s="80"/>
      <c r="AP113" s="80"/>
      <c r="AQ113" s="80"/>
      <c r="AR113" s="80"/>
      <c r="AS113" s="80"/>
      <c r="AT113" s="80"/>
      <c r="AU113" s="80"/>
      <c r="AV113" s="80"/>
      <c r="AW113" s="80"/>
      <c r="AX113" s="80"/>
      <c r="AY113" s="80"/>
      <c r="AZ113" s="80"/>
      <c r="BA113" s="80"/>
      <c r="BB113" s="80"/>
      <c r="BC113" s="80"/>
      <c r="BD113" s="80"/>
    </row>
    <row r="114" spans="1:56" s="82" customFormat="1" ht="11.25" hidden="1" customHeight="1" outlineLevel="1" x14ac:dyDescent="0.25">
      <c r="A114" s="83"/>
      <c r="B114" s="328"/>
      <c r="C114" s="78"/>
      <c r="D114" s="79"/>
      <c r="E114" s="78"/>
      <c r="F114" s="81"/>
      <c r="G114" s="176"/>
      <c r="H114" s="177"/>
      <c r="I114" s="178"/>
      <c r="J114" s="179"/>
      <c r="K114" s="80"/>
      <c r="L114" s="81"/>
      <c r="M114" s="80"/>
      <c r="N114" s="80"/>
      <c r="O114" s="80"/>
      <c r="P114" s="80"/>
      <c r="Q114" s="80"/>
      <c r="R114" s="80"/>
      <c r="S114" s="80"/>
      <c r="T114" s="80"/>
      <c r="U114" s="80"/>
      <c r="V114" s="80"/>
      <c r="W114" s="80"/>
      <c r="X114" s="80"/>
      <c r="Y114" s="80"/>
      <c r="Z114" s="80"/>
      <c r="AA114" s="80"/>
      <c r="AB114" s="80"/>
      <c r="AC114" s="80"/>
      <c r="AD114" s="80"/>
      <c r="AE114" s="80"/>
      <c r="AF114" s="80"/>
      <c r="AG114" s="80"/>
      <c r="AH114" s="80"/>
      <c r="AI114" s="80"/>
      <c r="AJ114" s="80"/>
      <c r="AK114" s="80"/>
      <c r="AL114" s="80"/>
      <c r="AM114" s="80"/>
      <c r="AN114" s="80"/>
      <c r="AO114" s="80"/>
      <c r="AP114" s="80"/>
      <c r="AQ114" s="80"/>
      <c r="AR114" s="80"/>
      <c r="AS114" s="80"/>
      <c r="AT114" s="80"/>
      <c r="AU114" s="80"/>
      <c r="AV114" s="80"/>
      <c r="AW114" s="80"/>
      <c r="AX114" s="80"/>
      <c r="AY114" s="80"/>
      <c r="AZ114" s="80"/>
      <c r="BA114" s="80"/>
      <c r="BB114" s="80"/>
      <c r="BC114" s="80"/>
      <c r="BD114" s="80"/>
    </row>
    <row r="115" spans="1:56" s="19" customFormat="1" collapsed="1" x14ac:dyDescent="0.25">
      <c r="A115" s="60"/>
      <c r="B115" s="329"/>
      <c r="C115" s="17" t="s">
        <v>129</v>
      </c>
      <c r="D115" s="30" t="s">
        <v>130</v>
      </c>
      <c r="E115" s="17" t="s">
        <v>14</v>
      </c>
      <c r="F115" s="55">
        <v>180000</v>
      </c>
      <c r="G115" s="174">
        <f>90000</f>
        <v>90000</v>
      </c>
      <c r="H115" s="300">
        <v>180000</v>
      </c>
      <c r="I115" s="301"/>
      <c r="J115" s="302"/>
      <c r="K115" s="18">
        <f t="shared" si="15"/>
        <v>90000</v>
      </c>
      <c r="L115" s="55">
        <f t="shared" ref="L115:L120" si="16">SUM(M115:BD115)</f>
        <v>90000</v>
      </c>
      <c r="M115" s="18">
        <v>90000</v>
      </c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  <c r="AA115" s="18"/>
      <c r="AB115" s="18"/>
      <c r="AC115" s="18"/>
      <c r="AD115" s="18"/>
      <c r="AE115" s="18"/>
      <c r="AF115" s="18"/>
      <c r="AG115" s="18"/>
      <c r="AH115" s="18"/>
      <c r="AI115" s="18"/>
      <c r="AJ115" s="18"/>
      <c r="AK115" s="18"/>
      <c r="AL115" s="18"/>
      <c r="AM115" s="18"/>
      <c r="AN115" s="18"/>
      <c r="AO115" s="18"/>
      <c r="AP115" s="18"/>
      <c r="AQ115" s="18"/>
      <c r="AR115" s="18"/>
      <c r="AS115" s="18"/>
      <c r="AT115" s="18"/>
      <c r="AU115" s="18"/>
      <c r="AV115" s="18"/>
      <c r="AW115" s="18"/>
      <c r="AX115" s="18"/>
      <c r="AY115" s="18"/>
      <c r="AZ115" s="18"/>
      <c r="BA115" s="18"/>
      <c r="BB115" s="18"/>
      <c r="BC115" s="18"/>
      <c r="BD115" s="18"/>
    </row>
    <row r="116" spans="1:56" s="108" customFormat="1" ht="15" customHeight="1" x14ac:dyDescent="0.25">
      <c r="A116" s="103"/>
      <c r="B116" s="109" t="s">
        <v>168</v>
      </c>
      <c r="C116" s="58" t="s">
        <v>169</v>
      </c>
      <c r="D116" s="105" t="s">
        <v>170</v>
      </c>
      <c r="E116" s="66" t="s">
        <v>171</v>
      </c>
      <c r="F116" s="106">
        <v>24000</v>
      </c>
      <c r="G116" s="180">
        <v>24000</v>
      </c>
      <c r="H116" s="318">
        <v>0</v>
      </c>
      <c r="I116" s="319"/>
      <c r="J116" s="320"/>
      <c r="K116" s="18">
        <f t="shared" si="15"/>
        <v>0</v>
      </c>
      <c r="L116" s="153">
        <f t="shared" si="16"/>
        <v>0</v>
      </c>
      <c r="M116" s="106"/>
      <c r="N116" s="106"/>
      <c r="O116" s="106"/>
      <c r="P116" s="106"/>
      <c r="Q116" s="106"/>
      <c r="R116" s="106"/>
      <c r="S116" s="106"/>
      <c r="T116" s="106"/>
      <c r="U116" s="106"/>
      <c r="V116" s="106"/>
      <c r="W116" s="106"/>
      <c r="X116" s="106"/>
      <c r="Y116" s="106"/>
      <c r="Z116" s="106"/>
      <c r="AA116" s="106"/>
      <c r="AB116" s="106"/>
      <c r="AC116" s="106"/>
      <c r="AD116" s="106"/>
      <c r="AE116" s="106"/>
      <c r="AF116" s="106"/>
      <c r="AG116" s="106"/>
      <c r="AH116" s="106"/>
      <c r="AI116" s="106"/>
      <c r="AJ116" s="106"/>
      <c r="AK116" s="106"/>
      <c r="AL116" s="106"/>
      <c r="AM116" s="106"/>
      <c r="AN116" s="106"/>
      <c r="AO116" s="106"/>
      <c r="AP116" s="106"/>
      <c r="AQ116" s="106"/>
      <c r="AR116" s="106"/>
      <c r="AS116" s="106"/>
      <c r="AT116" s="106"/>
      <c r="AU116" s="106"/>
      <c r="AV116" s="106"/>
      <c r="AW116" s="106"/>
      <c r="AX116" s="106"/>
      <c r="AY116" s="106"/>
      <c r="AZ116" s="106"/>
      <c r="BA116" s="106"/>
      <c r="BB116" s="106"/>
      <c r="BC116" s="106"/>
      <c r="BD116" s="106"/>
    </row>
    <row r="117" spans="1:56" s="108" customFormat="1" ht="15" customHeight="1" x14ac:dyDescent="0.25">
      <c r="A117" s="103"/>
      <c r="B117" s="333" t="s">
        <v>260</v>
      </c>
      <c r="C117" s="58" t="s">
        <v>177</v>
      </c>
      <c r="D117" s="105" t="s">
        <v>175</v>
      </c>
      <c r="E117" s="66" t="s">
        <v>176</v>
      </c>
      <c r="F117" s="106">
        <v>30000</v>
      </c>
      <c r="G117" s="180">
        <v>30000</v>
      </c>
      <c r="H117" s="318">
        <v>30000</v>
      </c>
      <c r="I117" s="319"/>
      <c r="J117" s="320"/>
      <c r="K117" s="18">
        <f t="shared" si="15"/>
        <v>0</v>
      </c>
      <c r="L117" s="153">
        <f t="shared" si="16"/>
        <v>0</v>
      </c>
      <c r="M117" s="106"/>
      <c r="N117" s="106"/>
      <c r="O117" s="106"/>
      <c r="P117" s="106"/>
      <c r="Q117" s="106"/>
      <c r="R117" s="106"/>
      <c r="S117" s="106"/>
      <c r="T117" s="106"/>
      <c r="U117" s="106"/>
      <c r="V117" s="106"/>
      <c r="W117" s="106"/>
      <c r="X117" s="106"/>
      <c r="Y117" s="106"/>
      <c r="Z117" s="106"/>
      <c r="AA117" s="106"/>
      <c r="AB117" s="106"/>
      <c r="AC117" s="106"/>
      <c r="AD117" s="106"/>
      <c r="AE117" s="106"/>
      <c r="AF117" s="106"/>
      <c r="AG117" s="106"/>
      <c r="AH117" s="106"/>
      <c r="AI117" s="106"/>
      <c r="AJ117" s="106"/>
      <c r="AK117" s="106"/>
      <c r="AL117" s="106"/>
      <c r="AM117" s="106"/>
      <c r="AN117" s="106"/>
      <c r="AO117" s="106"/>
      <c r="AP117" s="106"/>
      <c r="AQ117" s="106"/>
      <c r="AR117" s="106"/>
      <c r="AS117" s="106"/>
      <c r="AT117" s="106"/>
      <c r="AU117" s="106"/>
      <c r="AV117" s="106"/>
      <c r="AW117" s="106"/>
      <c r="AX117" s="106"/>
      <c r="AY117" s="106"/>
      <c r="AZ117" s="106"/>
      <c r="BA117" s="106"/>
      <c r="BB117" s="106"/>
      <c r="BC117" s="106"/>
      <c r="BD117" s="106"/>
    </row>
    <row r="118" spans="1:56" s="108" customFormat="1" ht="15" customHeight="1" x14ac:dyDescent="0.25">
      <c r="A118" s="103"/>
      <c r="B118" s="334"/>
      <c r="C118" s="58" t="s">
        <v>178</v>
      </c>
      <c r="D118" s="105" t="s">
        <v>175</v>
      </c>
      <c r="E118" s="66" t="s">
        <v>176</v>
      </c>
      <c r="F118" s="106">
        <v>5000</v>
      </c>
      <c r="G118" s="180">
        <v>5000</v>
      </c>
      <c r="H118" s="318">
        <v>5000</v>
      </c>
      <c r="I118" s="319"/>
      <c r="J118" s="320"/>
      <c r="K118" s="18">
        <f t="shared" si="15"/>
        <v>0</v>
      </c>
      <c r="L118" s="153">
        <f t="shared" si="16"/>
        <v>0</v>
      </c>
      <c r="M118" s="106"/>
      <c r="N118" s="106"/>
      <c r="O118" s="106"/>
      <c r="P118" s="106"/>
      <c r="Q118" s="106"/>
      <c r="R118" s="106"/>
      <c r="S118" s="106"/>
      <c r="T118" s="106"/>
      <c r="U118" s="106"/>
      <c r="V118" s="106"/>
      <c r="W118" s="106"/>
      <c r="X118" s="106"/>
      <c r="Y118" s="106"/>
      <c r="Z118" s="106"/>
      <c r="AA118" s="106"/>
      <c r="AB118" s="106"/>
      <c r="AC118" s="106"/>
      <c r="AD118" s="106"/>
      <c r="AE118" s="106"/>
      <c r="AF118" s="106"/>
      <c r="AG118" s="106"/>
      <c r="AH118" s="106"/>
      <c r="AI118" s="106"/>
      <c r="AJ118" s="106"/>
      <c r="AK118" s="106"/>
      <c r="AL118" s="106"/>
      <c r="AM118" s="106"/>
      <c r="AN118" s="106"/>
      <c r="AO118" s="106"/>
      <c r="AP118" s="106"/>
      <c r="AQ118" s="106"/>
      <c r="AR118" s="106"/>
      <c r="AS118" s="106"/>
      <c r="AT118" s="106"/>
      <c r="AU118" s="106"/>
      <c r="AV118" s="106"/>
      <c r="AW118" s="106"/>
      <c r="AX118" s="106"/>
      <c r="AY118" s="106"/>
      <c r="AZ118" s="106"/>
      <c r="BA118" s="106"/>
      <c r="BB118" s="106"/>
      <c r="BC118" s="106"/>
      <c r="BD118" s="106"/>
    </row>
    <row r="119" spans="1:56" s="44" customFormat="1" ht="15" customHeight="1" x14ac:dyDescent="0.25">
      <c r="A119" s="45"/>
      <c r="B119" s="47" t="s">
        <v>53</v>
      </c>
      <c r="C119" s="41"/>
      <c r="D119" s="42"/>
      <c r="E119" s="47" t="s">
        <v>105</v>
      </c>
      <c r="F119" s="43">
        <v>10000000</v>
      </c>
      <c r="G119" s="43">
        <v>0</v>
      </c>
      <c r="H119" s="315">
        <v>0</v>
      </c>
      <c r="I119" s="316"/>
      <c r="J119" s="317"/>
      <c r="K119" s="43">
        <f t="shared" si="15"/>
        <v>10000000</v>
      </c>
      <c r="L119" s="76">
        <f t="shared" si="16"/>
        <v>10000000</v>
      </c>
      <c r="M119" s="43"/>
      <c r="N119" s="43">
        <v>3000000</v>
      </c>
      <c r="O119" s="43">
        <v>7000000</v>
      </c>
      <c r="P119" s="43"/>
      <c r="Q119" s="43"/>
      <c r="R119" s="43"/>
      <c r="S119" s="43"/>
      <c r="T119" s="43"/>
      <c r="U119" s="43"/>
      <c r="V119" s="43"/>
      <c r="W119" s="43"/>
      <c r="X119" s="43"/>
      <c r="Y119" s="43"/>
      <c r="Z119" s="43"/>
      <c r="AA119" s="43"/>
      <c r="AB119" s="43"/>
      <c r="AC119" s="43"/>
      <c r="AD119" s="43"/>
      <c r="AE119" s="43"/>
      <c r="AF119" s="43"/>
      <c r="AG119" s="43"/>
      <c r="AH119" s="43"/>
      <c r="AI119" s="43"/>
      <c r="AJ119" s="43"/>
      <c r="AK119" s="43"/>
      <c r="AL119" s="43"/>
      <c r="AM119" s="43"/>
      <c r="AN119" s="43"/>
      <c r="AO119" s="43"/>
      <c r="AP119" s="43"/>
      <c r="AQ119" s="43"/>
      <c r="AR119" s="43"/>
      <c r="AS119" s="43"/>
      <c r="AT119" s="43"/>
      <c r="AU119" s="43"/>
      <c r="AV119" s="43"/>
      <c r="AW119" s="43"/>
      <c r="AX119" s="43"/>
      <c r="AY119" s="43"/>
      <c r="AZ119" s="43"/>
      <c r="BA119" s="43"/>
      <c r="BB119" s="43"/>
      <c r="BC119" s="43"/>
      <c r="BD119" s="43"/>
    </row>
    <row r="120" spans="1:56" s="44" customFormat="1" ht="15" customHeight="1" x14ac:dyDescent="0.25">
      <c r="A120" s="45"/>
      <c r="B120" s="330" t="s">
        <v>181</v>
      </c>
      <c r="C120" s="41"/>
      <c r="D120" s="42"/>
      <c r="E120" s="47" t="s">
        <v>231</v>
      </c>
      <c r="F120" s="43">
        <v>165000000</v>
      </c>
      <c r="G120" s="43">
        <v>0</v>
      </c>
      <c r="H120" s="315">
        <v>0</v>
      </c>
      <c r="I120" s="316"/>
      <c r="J120" s="317"/>
      <c r="K120" s="43">
        <f t="shared" si="15"/>
        <v>165000000</v>
      </c>
      <c r="L120" s="76">
        <f t="shared" si="16"/>
        <v>165000000</v>
      </c>
      <c r="M120" s="43"/>
      <c r="N120" s="43"/>
      <c r="O120" s="43"/>
      <c r="P120" s="43"/>
      <c r="Q120" s="43"/>
      <c r="R120" s="43"/>
      <c r="S120" s="43"/>
      <c r="T120" s="43"/>
      <c r="U120" s="43"/>
      <c r="V120" s="43"/>
      <c r="W120" s="162">
        <v>10000000</v>
      </c>
      <c r="X120" s="162">
        <v>10000000</v>
      </c>
      <c r="Y120" s="162">
        <v>10000000</v>
      </c>
      <c r="Z120" s="162">
        <v>10000000</v>
      </c>
      <c r="AA120" s="162">
        <v>10000000</v>
      </c>
      <c r="AB120" s="162">
        <v>10000000</v>
      </c>
      <c r="AC120" s="162">
        <v>10000000</v>
      </c>
      <c r="AD120" s="162">
        <v>10000000</v>
      </c>
      <c r="AE120" s="162">
        <v>10000000</v>
      </c>
      <c r="AF120" s="162">
        <v>10000000</v>
      </c>
      <c r="AG120" s="162">
        <v>10000000</v>
      </c>
      <c r="AH120" s="162">
        <v>10000000</v>
      </c>
      <c r="AI120" s="162">
        <v>10000000</v>
      </c>
      <c r="AJ120" s="162">
        <v>10000000</v>
      </c>
      <c r="AK120" s="162">
        <v>10000000</v>
      </c>
      <c r="AL120" s="162">
        <v>10000000</v>
      </c>
      <c r="AM120" s="162">
        <v>5000000</v>
      </c>
      <c r="AN120" s="43"/>
      <c r="AO120" s="43"/>
      <c r="AP120" s="43"/>
      <c r="AQ120" s="43"/>
      <c r="AR120" s="43"/>
      <c r="AS120" s="43"/>
      <c r="AT120" s="43"/>
      <c r="AU120" s="43"/>
      <c r="AV120" s="43"/>
      <c r="AW120" s="43"/>
      <c r="AX120" s="43"/>
      <c r="AY120" s="43"/>
      <c r="AZ120" s="43"/>
      <c r="BA120" s="43"/>
      <c r="BB120" s="43"/>
      <c r="BC120" s="43"/>
      <c r="BD120" s="43"/>
    </row>
    <row r="121" spans="1:56" s="98" customFormat="1" x14ac:dyDescent="0.25">
      <c r="A121" s="189" t="s">
        <v>264</v>
      </c>
      <c r="B121" s="331"/>
      <c r="C121" s="156"/>
      <c r="D121" s="99"/>
      <c r="E121" s="92" t="s">
        <v>266</v>
      </c>
      <c r="F121" s="96">
        <f>-F120*0.5</f>
        <v>-82500000</v>
      </c>
      <c r="G121" s="96"/>
      <c r="H121" s="196"/>
      <c r="I121" s="197"/>
      <c r="J121" s="198"/>
      <c r="K121" s="96">
        <f>-K120*0.5</f>
        <v>-82500000</v>
      </c>
      <c r="L121" s="96">
        <f t="shared" ref="L121:BD121" si="17">-L120*0.5</f>
        <v>-82500000</v>
      </c>
      <c r="M121" s="96">
        <f t="shared" si="17"/>
        <v>0</v>
      </c>
      <c r="N121" s="96">
        <f t="shared" si="17"/>
        <v>0</v>
      </c>
      <c r="O121" s="96">
        <f t="shared" si="17"/>
        <v>0</v>
      </c>
      <c r="P121" s="96">
        <f t="shared" si="17"/>
        <v>0</v>
      </c>
      <c r="Q121" s="96">
        <f t="shared" si="17"/>
        <v>0</v>
      </c>
      <c r="R121" s="96">
        <f t="shared" si="17"/>
        <v>0</v>
      </c>
      <c r="S121" s="96">
        <f t="shared" si="17"/>
        <v>0</v>
      </c>
      <c r="T121" s="96">
        <f t="shared" si="17"/>
        <v>0</v>
      </c>
      <c r="U121" s="96">
        <f t="shared" si="17"/>
        <v>0</v>
      </c>
      <c r="V121" s="96">
        <f t="shared" si="17"/>
        <v>0</v>
      </c>
      <c r="W121" s="96">
        <f t="shared" si="17"/>
        <v>-5000000</v>
      </c>
      <c r="X121" s="96">
        <f t="shared" si="17"/>
        <v>-5000000</v>
      </c>
      <c r="Y121" s="96">
        <f t="shared" si="17"/>
        <v>-5000000</v>
      </c>
      <c r="Z121" s="96">
        <f t="shared" si="17"/>
        <v>-5000000</v>
      </c>
      <c r="AA121" s="96">
        <f t="shared" si="17"/>
        <v>-5000000</v>
      </c>
      <c r="AB121" s="96">
        <f t="shared" si="17"/>
        <v>-5000000</v>
      </c>
      <c r="AC121" s="96">
        <f t="shared" si="17"/>
        <v>-5000000</v>
      </c>
      <c r="AD121" s="96">
        <f t="shared" si="17"/>
        <v>-5000000</v>
      </c>
      <c r="AE121" s="96">
        <f t="shared" si="17"/>
        <v>-5000000</v>
      </c>
      <c r="AF121" s="96">
        <f t="shared" si="17"/>
        <v>-5000000</v>
      </c>
      <c r="AG121" s="96">
        <f t="shared" si="17"/>
        <v>-5000000</v>
      </c>
      <c r="AH121" s="96">
        <f t="shared" si="17"/>
        <v>-5000000</v>
      </c>
      <c r="AI121" s="96">
        <f t="shared" si="17"/>
        <v>-5000000</v>
      </c>
      <c r="AJ121" s="96">
        <f t="shared" si="17"/>
        <v>-5000000</v>
      </c>
      <c r="AK121" s="96">
        <f t="shared" si="17"/>
        <v>-5000000</v>
      </c>
      <c r="AL121" s="96">
        <f t="shared" si="17"/>
        <v>-5000000</v>
      </c>
      <c r="AM121" s="96">
        <f t="shared" si="17"/>
        <v>-2500000</v>
      </c>
      <c r="AN121" s="96">
        <f t="shared" si="17"/>
        <v>0</v>
      </c>
      <c r="AO121" s="96">
        <f t="shared" si="17"/>
        <v>0</v>
      </c>
      <c r="AP121" s="96">
        <f t="shared" si="17"/>
        <v>0</v>
      </c>
      <c r="AQ121" s="96">
        <f t="shared" si="17"/>
        <v>0</v>
      </c>
      <c r="AR121" s="96">
        <f t="shared" si="17"/>
        <v>0</v>
      </c>
      <c r="AS121" s="96">
        <f t="shared" si="17"/>
        <v>0</v>
      </c>
      <c r="AT121" s="96">
        <f t="shared" si="17"/>
        <v>0</v>
      </c>
      <c r="AU121" s="96">
        <f t="shared" si="17"/>
        <v>0</v>
      </c>
      <c r="AV121" s="96">
        <f t="shared" si="17"/>
        <v>0</v>
      </c>
      <c r="AW121" s="96">
        <f t="shared" si="17"/>
        <v>0</v>
      </c>
      <c r="AX121" s="96">
        <f t="shared" si="17"/>
        <v>0</v>
      </c>
      <c r="AY121" s="96">
        <f t="shared" si="17"/>
        <v>0</v>
      </c>
      <c r="AZ121" s="96">
        <f t="shared" si="17"/>
        <v>0</v>
      </c>
      <c r="BA121" s="96">
        <f t="shared" si="17"/>
        <v>0</v>
      </c>
      <c r="BB121" s="96">
        <f t="shared" si="17"/>
        <v>0</v>
      </c>
      <c r="BC121" s="96">
        <f t="shared" si="17"/>
        <v>0</v>
      </c>
      <c r="BD121" s="96">
        <f t="shared" si="17"/>
        <v>0</v>
      </c>
    </row>
    <row r="122" spans="1:56" s="44" customFormat="1" ht="15" customHeight="1" x14ac:dyDescent="0.25">
      <c r="A122" s="45"/>
      <c r="B122" s="47" t="s">
        <v>100</v>
      </c>
      <c r="C122" s="41"/>
      <c r="D122" s="42"/>
      <c r="E122" s="47" t="s">
        <v>102</v>
      </c>
      <c r="F122" s="43">
        <f>50000*35</f>
        <v>1750000</v>
      </c>
      <c r="G122" s="43">
        <v>0</v>
      </c>
      <c r="H122" s="315">
        <v>0</v>
      </c>
      <c r="I122" s="316"/>
      <c r="J122" s="317"/>
      <c r="K122" s="43">
        <f t="shared" si="15"/>
        <v>1750000</v>
      </c>
      <c r="L122" s="76">
        <f>SUM(M122:BD122)</f>
        <v>1750000</v>
      </c>
      <c r="M122" s="43">
        <v>50000</v>
      </c>
      <c r="N122" s="43">
        <v>50000</v>
      </c>
      <c r="O122" s="43">
        <v>50000</v>
      </c>
      <c r="P122" s="43">
        <v>50000</v>
      </c>
      <c r="Q122" s="43">
        <v>50000</v>
      </c>
      <c r="R122" s="43">
        <v>50000</v>
      </c>
      <c r="S122" s="43">
        <v>50000</v>
      </c>
      <c r="T122" s="43">
        <v>50000</v>
      </c>
      <c r="U122" s="43">
        <v>50000</v>
      </c>
      <c r="V122" s="43">
        <v>50000</v>
      </c>
      <c r="W122" s="43">
        <v>50000</v>
      </c>
      <c r="X122" s="43">
        <v>50000</v>
      </c>
      <c r="Y122" s="43">
        <v>50000</v>
      </c>
      <c r="Z122" s="43">
        <v>50000</v>
      </c>
      <c r="AA122" s="43">
        <v>50000</v>
      </c>
      <c r="AB122" s="43">
        <v>50000</v>
      </c>
      <c r="AC122" s="43">
        <v>50000</v>
      </c>
      <c r="AD122" s="43">
        <v>50000</v>
      </c>
      <c r="AE122" s="43">
        <v>50000</v>
      </c>
      <c r="AF122" s="43">
        <v>50000</v>
      </c>
      <c r="AG122" s="43">
        <v>50000</v>
      </c>
      <c r="AH122" s="43">
        <v>50000</v>
      </c>
      <c r="AI122" s="43">
        <v>50000</v>
      </c>
      <c r="AJ122" s="43">
        <v>50000</v>
      </c>
      <c r="AK122" s="43">
        <v>50000</v>
      </c>
      <c r="AL122" s="43">
        <v>50000</v>
      </c>
      <c r="AM122" s="43">
        <v>50000</v>
      </c>
      <c r="AN122" s="43">
        <v>50000</v>
      </c>
      <c r="AO122" s="43">
        <v>50000</v>
      </c>
      <c r="AP122" s="43">
        <v>50000</v>
      </c>
      <c r="AQ122" s="43">
        <v>50000</v>
      </c>
      <c r="AR122" s="43">
        <v>50000</v>
      </c>
      <c r="AS122" s="43">
        <v>50000</v>
      </c>
      <c r="AT122" s="43">
        <v>50000</v>
      </c>
      <c r="AU122" s="43">
        <v>50000</v>
      </c>
      <c r="AV122" s="43"/>
      <c r="AW122" s="43"/>
      <c r="AX122" s="43"/>
      <c r="AY122" s="43"/>
      <c r="AZ122" s="43"/>
      <c r="BA122" s="43"/>
      <c r="BB122" s="43"/>
      <c r="BC122" s="43"/>
      <c r="BD122" s="43"/>
    </row>
    <row r="123" spans="1:56" s="44" customFormat="1" ht="15" customHeight="1" x14ac:dyDescent="0.25">
      <c r="A123" s="45"/>
      <c r="B123" s="47" t="s">
        <v>53</v>
      </c>
      <c r="C123" s="41"/>
      <c r="D123" s="42"/>
      <c r="E123" s="47" t="s">
        <v>267</v>
      </c>
      <c r="F123" s="43">
        <v>210000000</v>
      </c>
      <c r="G123" s="43"/>
      <c r="H123" s="200"/>
      <c r="I123" s="201"/>
      <c r="J123" s="202"/>
      <c r="K123" s="43">
        <f t="shared" si="15"/>
        <v>210000000</v>
      </c>
      <c r="L123" s="76">
        <f>SUM(M123:BD123)</f>
        <v>206164941.69999999</v>
      </c>
      <c r="M123" s="43"/>
      <c r="N123" s="43"/>
      <c r="O123" s="43"/>
      <c r="P123" s="43">
        <f>P107*0.1</f>
        <v>2910000</v>
      </c>
      <c r="Q123" s="43">
        <f t="shared" ref="Q123:AJ123" si="18">Q107*0.1</f>
        <v>6207470.8500000006</v>
      </c>
      <c r="R123" s="43">
        <f t="shared" si="18"/>
        <v>10816000</v>
      </c>
      <c r="S123" s="43">
        <f t="shared" si="18"/>
        <v>10866000</v>
      </c>
      <c r="T123" s="43">
        <f t="shared" si="18"/>
        <v>17022000</v>
      </c>
      <c r="U123" s="43">
        <f t="shared" si="18"/>
        <v>12672000</v>
      </c>
      <c r="V123" s="43">
        <f t="shared" si="18"/>
        <v>12722000</v>
      </c>
      <c r="W123" s="43">
        <f t="shared" si="18"/>
        <v>15099470.850000001</v>
      </c>
      <c r="X123" s="43">
        <f t="shared" si="18"/>
        <v>7436000</v>
      </c>
      <c r="Y123" s="43">
        <f t="shared" si="18"/>
        <v>7436000</v>
      </c>
      <c r="Z123" s="43">
        <f t="shared" si="18"/>
        <v>7436000</v>
      </c>
      <c r="AA123" s="43">
        <f t="shared" si="18"/>
        <v>15608000</v>
      </c>
      <c r="AB123" s="43">
        <f t="shared" si="18"/>
        <v>15608000</v>
      </c>
      <c r="AC123" s="43">
        <f t="shared" si="18"/>
        <v>8772000</v>
      </c>
      <c r="AD123" s="43">
        <f t="shared" si="18"/>
        <v>8872000</v>
      </c>
      <c r="AE123" s="43">
        <f t="shared" si="18"/>
        <v>8872000</v>
      </c>
      <c r="AF123" s="43">
        <f t="shared" si="18"/>
        <v>8872000</v>
      </c>
      <c r="AG123" s="43">
        <f t="shared" si="18"/>
        <v>8872000</v>
      </c>
      <c r="AH123" s="43">
        <f t="shared" si="18"/>
        <v>8772000</v>
      </c>
      <c r="AI123" s="43">
        <f t="shared" si="18"/>
        <v>8672000</v>
      </c>
      <c r="AJ123" s="43">
        <f t="shared" si="18"/>
        <v>2622000</v>
      </c>
      <c r="AK123" s="43"/>
      <c r="AL123" s="43"/>
      <c r="AM123" s="43"/>
      <c r="AN123" s="43"/>
      <c r="AO123" s="43"/>
      <c r="AP123" s="43"/>
      <c r="AQ123" s="43"/>
      <c r="AR123" s="43"/>
      <c r="AS123" s="43"/>
      <c r="AT123" s="43"/>
      <c r="AU123" s="43"/>
      <c r="AV123" s="43"/>
      <c r="AW123" s="43"/>
      <c r="AX123" s="43"/>
      <c r="AY123" s="43"/>
      <c r="AZ123" s="43"/>
      <c r="BA123" s="43"/>
      <c r="BB123" s="43"/>
      <c r="BC123" s="43"/>
      <c r="BD123" s="43"/>
    </row>
    <row r="124" spans="1:56" s="44" customFormat="1" ht="15" customHeight="1" x14ac:dyDescent="0.25">
      <c r="A124" s="46"/>
      <c r="B124" s="47" t="s">
        <v>100</v>
      </c>
      <c r="C124" s="41"/>
      <c r="D124" s="42"/>
      <c r="E124" s="47" t="s">
        <v>100</v>
      </c>
      <c r="F124" s="43">
        <v>23000000</v>
      </c>
      <c r="G124" s="43"/>
      <c r="H124" s="303"/>
      <c r="I124" s="304"/>
      <c r="J124" s="305"/>
      <c r="K124" s="43">
        <f t="shared" si="15"/>
        <v>23000000</v>
      </c>
      <c r="L124" s="76">
        <f>SUM(M124:BD124)</f>
        <v>23000000</v>
      </c>
      <c r="M124" s="43"/>
      <c r="N124" s="43"/>
      <c r="O124" s="43"/>
      <c r="P124" s="43"/>
      <c r="Q124" s="43"/>
      <c r="R124" s="43"/>
      <c r="S124" s="43">
        <v>1000000</v>
      </c>
      <c r="T124" s="43">
        <v>1000000</v>
      </c>
      <c r="U124" s="43">
        <v>1000000</v>
      </c>
      <c r="V124" s="43">
        <v>1000000</v>
      </c>
      <c r="W124" s="43">
        <v>1000000</v>
      </c>
      <c r="X124" s="43">
        <v>1000000</v>
      </c>
      <c r="Y124" s="43">
        <v>1000000</v>
      </c>
      <c r="Z124" s="43">
        <v>1000000</v>
      </c>
      <c r="AA124" s="43">
        <v>1000000</v>
      </c>
      <c r="AB124" s="43">
        <v>1000000</v>
      </c>
      <c r="AC124" s="43">
        <v>1000000</v>
      </c>
      <c r="AD124" s="43">
        <v>1000000</v>
      </c>
      <c r="AE124" s="43">
        <v>1000000</v>
      </c>
      <c r="AF124" s="43">
        <v>1000000</v>
      </c>
      <c r="AG124" s="43">
        <v>1000000</v>
      </c>
      <c r="AH124" s="43">
        <v>1000000</v>
      </c>
      <c r="AI124" s="43">
        <v>1000000</v>
      </c>
      <c r="AJ124" s="43">
        <v>1000000</v>
      </c>
      <c r="AK124" s="43">
        <v>1000000</v>
      </c>
      <c r="AL124" s="43">
        <v>1000000</v>
      </c>
      <c r="AM124" s="43">
        <v>1000000</v>
      </c>
      <c r="AN124" s="43">
        <v>1000000</v>
      </c>
      <c r="AO124" s="43">
        <v>1000000</v>
      </c>
      <c r="AP124" s="43"/>
      <c r="AQ124" s="43"/>
      <c r="AR124" s="43"/>
      <c r="AS124" s="43"/>
      <c r="AT124" s="43"/>
      <c r="AU124" s="43"/>
      <c r="AV124" s="43"/>
      <c r="AW124" s="43"/>
      <c r="AX124" s="43"/>
      <c r="AY124" s="43"/>
      <c r="AZ124" s="43"/>
      <c r="BA124" s="43"/>
      <c r="BB124" s="43"/>
      <c r="BC124" s="43"/>
      <c r="BD124" s="43"/>
    </row>
    <row r="125" spans="1:56" s="26" customFormat="1" ht="15" x14ac:dyDescent="0.25">
      <c r="A125" s="204" t="s">
        <v>203</v>
      </c>
      <c r="B125" s="16"/>
      <c r="C125" s="127">
        <v>820000000</v>
      </c>
      <c r="D125" s="10"/>
      <c r="E125" s="16"/>
      <c r="F125" s="25"/>
      <c r="G125" s="25"/>
      <c r="H125" s="285"/>
      <c r="I125" s="286"/>
      <c r="J125" s="287"/>
      <c r="K125" s="18">
        <f t="shared" si="15"/>
        <v>0</v>
      </c>
      <c r="L125" s="121">
        <f t="shared" ref="L125:L139" si="19">SUM(M125:BD125)</f>
        <v>0</v>
      </c>
      <c r="M125" s="25"/>
      <c r="N125" s="25"/>
      <c r="O125" s="25"/>
      <c r="P125" s="25"/>
      <c r="Q125" s="25"/>
      <c r="R125" s="25"/>
      <c r="S125" s="25"/>
      <c r="T125" s="25"/>
      <c r="U125" s="25"/>
      <c r="V125" s="25"/>
      <c r="W125" s="25"/>
      <c r="X125" s="25"/>
      <c r="Y125" s="25"/>
      <c r="Z125" s="25"/>
      <c r="AA125" s="25"/>
      <c r="AB125" s="25"/>
      <c r="AC125" s="25"/>
      <c r="AD125" s="25"/>
      <c r="AE125" s="25"/>
      <c r="AF125" s="25"/>
      <c r="AG125" s="25"/>
      <c r="AH125" s="25"/>
      <c r="AI125" s="25"/>
      <c r="AJ125" s="25"/>
      <c r="AK125" s="25"/>
      <c r="AL125" s="25"/>
      <c r="AM125" s="25"/>
      <c r="AN125" s="25"/>
      <c r="AO125" s="25"/>
      <c r="AP125" s="25"/>
      <c r="AQ125" s="25"/>
      <c r="AR125" s="25"/>
      <c r="AS125" s="25"/>
      <c r="AT125" s="25"/>
      <c r="AU125" s="25"/>
      <c r="AV125" s="25"/>
      <c r="AW125" s="25"/>
      <c r="AX125" s="25"/>
      <c r="AY125" s="25"/>
      <c r="AZ125" s="25"/>
      <c r="BA125" s="25"/>
      <c r="BB125" s="25"/>
      <c r="BC125" s="25"/>
      <c r="BD125" s="25"/>
    </row>
    <row r="126" spans="1:56" s="44" customFormat="1" x14ac:dyDescent="0.25">
      <c r="A126" s="160"/>
      <c r="B126" s="47" t="s">
        <v>181</v>
      </c>
      <c r="C126" s="41"/>
      <c r="D126" s="42"/>
      <c r="E126" s="40" t="s">
        <v>232</v>
      </c>
      <c r="F126" s="43">
        <v>780000000</v>
      </c>
      <c r="G126" s="161"/>
      <c r="H126" s="150"/>
      <c r="I126" s="151"/>
      <c r="J126" s="152"/>
      <c r="K126" s="43">
        <f t="shared" si="15"/>
        <v>780000000</v>
      </c>
      <c r="L126" s="76">
        <f t="shared" si="19"/>
        <v>780000000</v>
      </c>
      <c r="M126" s="43"/>
      <c r="N126" s="43"/>
      <c r="O126" s="43"/>
      <c r="P126" s="43"/>
      <c r="Q126" s="43"/>
      <c r="R126" s="43"/>
      <c r="S126" s="43"/>
      <c r="T126" s="43"/>
      <c r="U126" s="43"/>
      <c r="V126" s="43"/>
      <c r="W126" s="43"/>
      <c r="X126" s="43"/>
      <c r="Y126" s="43"/>
      <c r="Z126" s="43"/>
      <c r="AA126" s="43"/>
      <c r="AB126" s="43"/>
      <c r="AC126" s="43"/>
      <c r="AD126" s="43"/>
      <c r="AE126" s="43"/>
      <c r="AF126" s="43"/>
      <c r="AG126" s="43"/>
      <c r="AH126" s="43"/>
      <c r="AI126" s="162">
        <v>86000000</v>
      </c>
      <c r="AJ126" s="162">
        <v>86000000</v>
      </c>
      <c r="AK126" s="162">
        <v>86000000</v>
      </c>
      <c r="AL126" s="162">
        <v>86000000</v>
      </c>
      <c r="AM126" s="162">
        <v>86000000</v>
      </c>
      <c r="AN126" s="162">
        <v>86000000</v>
      </c>
      <c r="AO126" s="162">
        <v>86000000</v>
      </c>
      <c r="AP126" s="162">
        <v>86000000</v>
      </c>
      <c r="AQ126" s="162">
        <v>92000000</v>
      </c>
      <c r="AR126" s="43"/>
      <c r="AS126" s="43"/>
      <c r="AT126" s="43"/>
      <c r="AU126" s="43"/>
      <c r="AV126" s="43"/>
      <c r="AW126" s="43"/>
      <c r="AX126" s="43"/>
      <c r="AY126" s="43"/>
      <c r="AZ126" s="43"/>
      <c r="BA126" s="43"/>
      <c r="BB126" s="43"/>
      <c r="BC126" s="43"/>
      <c r="BD126" s="43"/>
    </row>
    <row r="127" spans="1:56" s="44" customFormat="1" x14ac:dyDescent="0.25">
      <c r="A127" s="158"/>
      <c r="B127" s="47" t="s">
        <v>181</v>
      </c>
      <c r="C127" s="41"/>
      <c r="D127" s="42"/>
      <c r="E127" s="40" t="s">
        <v>233</v>
      </c>
      <c r="F127" s="43">
        <v>40000000</v>
      </c>
      <c r="G127" s="161"/>
      <c r="H127" s="150"/>
      <c r="I127" s="151"/>
      <c r="J127" s="152"/>
      <c r="K127" s="43">
        <f t="shared" si="15"/>
        <v>40000000</v>
      </c>
      <c r="L127" s="76">
        <f t="shared" si="19"/>
        <v>40000000</v>
      </c>
      <c r="M127" s="43"/>
      <c r="N127" s="43"/>
      <c r="O127" s="43"/>
      <c r="P127" s="43"/>
      <c r="Q127" s="43"/>
      <c r="R127" s="43"/>
      <c r="S127" s="43"/>
      <c r="T127" s="43"/>
      <c r="U127" s="43"/>
      <c r="V127" s="43"/>
      <c r="W127" s="43"/>
      <c r="X127" s="43"/>
      <c r="Y127" s="43"/>
      <c r="Z127" s="43"/>
      <c r="AA127" s="43"/>
      <c r="AB127" s="43"/>
      <c r="AC127" s="43"/>
      <c r="AD127" s="43"/>
      <c r="AE127" s="43"/>
      <c r="AF127" s="43"/>
      <c r="AG127" s="43"/>
      <c r="AH127" s="162">
        <v>8000000</v>
      </c>
      <c r="AI127" s="162">
        <v>8000000</v>
      </c>
      <c r="AJ127" s="162">
        <v>8000000</v>
      </c>
      <c r="AK127" s="162">
        <v>8000000</v>
      </c>
      <c r="AL127" s="162">
        <v>8000000</v>
      </c>
      <c r="AM127" s="43"/>
      <c r="AN127" s="43"/>
      <c r="AO127" s="43"/>
      <c r="AP127" s="43"/>
      <c r="AQ127" s="43"/>
      <c r="AR127" s="43"/>
      <c r="AS127" s="43"/>
      <c r="AT127" s="43"/>
      <c r="AU127" s="43"/>
      <c r="AV127" s="43"/>
      <c r="AW127" s="43"/>
      <c r="AX127" s="43"/>
      <c r="AY127" s="43"/>
      <c r="AZ127" s="43"/>
      <c r="BA127" s="43"/>
      <c r="BB127" s="43"/>
      <c r="BC127" s="43"/>
      <c r="BD127" s="43"/>
    </row>
    <row r="128" spans="1:56" s="98" customFormat="1" x14ac:dyDescent="0.25">
      <c r="A128" s="189" t="s">
        <v>264</v>
      </c>
      <c r="B128" s="47"/>
      <c r="C128" s="156"/>
      <c r="D128" s="99"/>
      <c r="E128" s="92" t="s">
        <v>266</v>
      </c>
      <c r="F128" s="96">
        <f>-SUM(F126:F127)*0.5</f>
        <v>-410000000</v>
      </c>
      <c r="G128" s="96"/>
      <c r="H128" s="196"/>
      <c r="I128" s="197"/>
      <c r="J128" s="198"/>
      <c r="K128" s="96">
        <f>-SUM(K126:K127)*0.5</f>
        <v>-410000000</v>
      </c>
      <c r="L128" s="96">
        <f t="shared" ref="L128:BD128" si="20">-SUM(L126:L127)*0.5</f>
        <v>-410000000</v>
      </c>
      <c r="M128" s="96">
        <f t="shared" si="20"/>
        <v>0</v>
      </c>
      <c r="N128" s="96">
        <f t="shared" si="20"/>
        <v>0</v>
      </c>
      <c r="O128" s="96">
        <f t="shared" si="20"/>
        <v>0</v>
      </c>
      <c r="P128" s="96">
        <f t="shared" si="20"/>
        <v>0</v>
      </c>
      <c r="Q128" s="96">
        <f t="shared" si="20"/>
        <v>0</v>
      </c>
      <c r="R128" s="96">
        <f t="shared" si="20"/>
        <v>0</v>
      </c>
      <c r="S128" s="96">
        <f t="shared" si="20"/>
        <v>0</v>
      </c>
      <c r="T128" s="96">
        <f t="shared" si="20"/>
        <v>0</v>
      </c>
      <c r="U128" s="96">
        <f t="shared" si="20"/>
        <v>0</v>
      </c>
      <c r="V128" s="96">
        <f t="shared" si="20"/>
        <v>0</v>
      </c>
      <c r="W128" s="96">
        <f t="shared" si="20"/>
        <v>0</v>
      </c>
      <c r="X128" s="96">
        <f t="shared" si="20"/>
        <v>0</v>
      </c>
      <c r="Y128" s="96">
        <f t="shared" si="20"/>
        <v>0</v>
      </c>
      <c r="Z128" s="96">
        <f t="shared" si="20"/>
        <v>0</v>
      </c>
      <c r="AA128" s="96">
        <f t="shared" si="20"/>
        <v>0</v>
      </c>
      <c r="AB128" s="96">
        <f t="shared" si="20"/>
        <v>0</v>
      </c>
      <c r="AC128" s="96">
        <f t="shared" si="20"/>
        <v>0</v>
      </c>
      <c r="AD128" s="96">
        <f t="shared" si="20"/>
        <v>0</v>
      </c>
      <c r="AE128" s="96">
        <f t="shared" si="20"/>
        <v>0</v>
      </c>
      <c r="AF128" s="96">
        <f t="shared" si="20"/>
        <v>0</v>
      </c>
      <c r="AG128" s="96">
        <f t="shared" si="20"/>
        <v>0</v>
      </c>
      <c r="AH128" s="96">
        <f t="shared" si="20"/>
        <v>-4000000</v>
      </c>
      <c r="AI128" s="96">
        <f t="shared" si="20"/>
        <v>-47000000</v>
      </c>
      <c r="AJ128" s="96">
        <f t="shared" si="20"/>
        <v>-47000000</v>
      </c>
      <c r="AK128" s="96">
        <f t="shared" si="20"/>
        <v>-47000000</v>
      </c>
      <c r="AL128" s="96">
        <f t="shared" si="20"/>
        <v>-47000000</v>
      </c>
      <c r="AM128" s="96">
        <f t="shared" si="20"/>
        <v>-43000000</v>
      </c>
      <c r="AN128" s="96">
        <f t="shared" si="20"/>
        <v>-43000000</v>
      </c>
      <c r="AO128" s="96">
        <f t="shared" si="20"/>
        <v>-43000000</v>
      </c>
      <c r="AP128" s="96">
        <f t="shared" si="20"/>
        <v>-43000000</v>
      </c>
      <c r="AQ128" s="96">
        <f t="shared" si="20"/>
        <v>-46000000</v>
      </c>
      <c r="AR128" s="96">
        <f t="shared" si="20"/>
        <v>0</v>
      </c>
      <c r="AS128" s="96">
        <f t="shared" si="20"/>
        <v>0</v>
      </c>
      <c r="AT128" s="96">
        <f t="shared" si="20"/>
        <v>0</v>
      </c>
      <c r="AU128" s="96">
        <f t="shared" si="20"/>
        <v>0</v>
      </c>
      <c r="AV128" s="96">
        <f t="shared" si="20"/>
        <v>0</v>
      </c>
      <c r="AW128" s="96">
        <f t="shared" si="20"/>
        <v>0</v>
      </c>
      <c r="AX128" s="96">
        <f t="shared" si="20"/>
        <v>0</v>
      </c>
      <c r="AY128" s="96">
        <f t="shared" si="20"/>
        <v>0</v>
      </c>
      <c r="AZ128" s="96">
        <f t="shared" si="20"/>
        <v>0</v>
      </c>
      <c r="BA128" s="96">
        <f t="shared" si="20"/>
        <v>0</v>
      </c>
      <c r="BB128" s="96">
        <f t="shared" si="20"/>
        <v>0</v>
      </c>
      <c r="BC128" s="96">
        <f t="shared" si="20"/>
        <v>0</v>
      </c>
      <c r="BD128" s="96">
        <f t="shared" si="20"/>
        <v>0</v>
      </c>
    </row>
    <row r="129" spans="1:56" s="44" customFormat="1" x14ac:dyDescent="0.25">
      <c r="A129" s="159"/>
      <c r="B129" s="47" t="s">
        <v>100</v>
      </c>
      <c r="C129" s="41"/>
      <c r="D129" s="42"/>
      <c r="E129" s="40" t="s">
        <v>100</v>
      </c>
      <c r="F129" s="43"/>
      <c r="G129" s="161"/>
      <c r="H129" s="150"/>
      <c r="I129" s="151"/>
      <c r="J129" s="152"/>
      <c r="K129" s="43">
        <f t="shared" si="15"/>
        <v>0</v>
      </c>
      <c r="L129" s="76">
        <f t="shared" si="19"/>
        <v>0</v>
      </c>
      <c r="M129" s="43"/>
      <c r="N129" s="43"/>
      <c r="O129" s="43"/>
      <c r="P129" s="43"/>
      <c r="Q129" s="43"/>
      <c r="R129" s="43"/>
      <c r="S129" s="43"/>
      <c r="T129" s="43"/>
      <c r="U129" s="43"/>
      <c r="V129" s="43"/>
      <c r="W129" s="43"/>
      <c r="X129" s="43"/>
      <c r="Y129" s="43"/>
      <c r="Z129" s="43"/>
      <c r="AA129" s="43"/>
      <c r="AB129" s="43"/>
      <c r="AC129" s="43"/>
      <c r="AD129" s="43"/>
      <c r="AE129" s="43"/>
      <c r="AF129" s="43"/>
      <c r="AG129" s="43"/>
      <c r="AH129" s="43"/>
      <c r="AI129" s="43"/>
      <c r="AJ129" s="43"/>
      <c r="AK129" s="43"/>
      <c r="AL129" s="43"/>
      <c r="AM129" s="43"/>
      <c r="AN129" s="43"/>
      <c r="AO129" s="43"/>
      <c r="AP129" s="43"/>
      <c r="AQ129" s="43"/>
      <c r="AR129" s="43"/>
      <c r="AS129" s="43"/>
      <c r="AT129" s="43"/>
      <c r="AU129" s="43"/>
      <c r="AV129" s="43"/>
      <c r="AW129" s="43"/>
      <c r="AX129" s="43"/>
      <c r="AY129" s="43"/>
      <c r="AZ129" s="43"/>
      <c r="BA129" s="43"/>
      <c r="BB129" s="43"/>
      <c r="BC129" s="43"/>
      <c r="BD129" s="43"/>
    </row>
    <row r="130" spans="1:56" s="5" customFormat="1" ht="15.75" customHeight="1" x14ac:dyDescent="0.25">
      <c r="A130" s="137" t="s">
        <v>204</v>
      </c>
      <c r="B130" s="10"/>
      <c r="C130" s="147">
        <v>1139000000</v>
      </c>
      <c r="D130" s="9"/>
      <c r="E130" s="36"/>
      <c r="F130" s="11"/>
      <c r="G130" s="48"/>
      <c r="H130" s="285"/>
      <c r="I130" s="286"/>
      <c r="J130" s="287"/>
      <c r="K130" s="18">
        <f t="shared" si="15"/>
        <v>0</v>
      </c>
      <c r="L130" s="121">
        <f t="shared" si="19"/>
        <v>0</v>
      </c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  <c r="AY130" s="11"/>
      <c r="AZ130" s="11"/>
      <c r="BA130" s="11"/>
      <c r="BB130" s="11"/>
      <c r="BC130" s="11"/>
      <c r="BD130" s="11"/>
    </row>
    <row r="131" spans="1:56" s="44" customFormat="1" x14ac:dyDescent="0.25">
      <c r="A131" s="160"/>
      <c r="B131" s="330" t="s">
        <v>181</v>
      </c>
      <c r="C131" s="41"/>
      <c r="D131" s="42"/>
      <c r="E131" s="40" t="s">
        <v>234</v>
      </c>
      <c r="F131" s="43">
        <v>92000000</v>
      </c>
      <c r="G131" s="43"/>
      <c r="H131" s="309"/>
      <c r="I131" s="310"/>
      <c r="J131" s="311"/>
      <c r="K131" s="43">
        <f t="shared" si="15"/>
        <v>92000000</v>
      </c>
      <c r="L131" s="76">
        <f t="shared" si="19"/>
        <v>92000000</v>
      </c>
      <c r="M131" s="43"/>
      <c r="N131" s="43"/>
      <c r="O131" s="43"/>
      <c r="P131" s="43"/>
      <c r="Q131" s="43"/>
      <c r="R131" s="43"/>
      <c r="S131" s="43"/>
      <c r="T131" s="43"/>
      <c r="U131" s="43"/>
      <c r="V131" s="43"/>
      <c r="W131" s="43"/>
      <c r="X131" s="43"/>
      <c r="Y131" s="43"/>
      <c r="Z131" s="43"/>
      <c r="AA131" s="43"/>
      <c r="AB131" s="43"/>
      <c r="AC131" s="43"/>
      <c r="AD131" s="43"/>
      <c r="AE131" s="162">
        <v>6000000</v>
      </c>
      <c r="AF131" s="162">
        <v>6000000</v>
      </c>
      <c r="AG131" s="162">
        <v>6000000</v>
      </c>
      <c r="AH131" s="162">
        <v>6000000</v>
      </c>
      <c r="AI131" s="162">
        <v>6000000</v>
      </c>
      <c r="AJ131" s="162">
        <v>6000000</v>
      </c>
      <c r="AK131" s="162">
        <v>6000000</v>
      </c>
      <c r="AL131" s="162">
        <v>6000000</v>
      </c>
      <c r="AM131" s="162">
        <v>6000000</v>
      </c>
      <c r="AN131" s="162">
        <v>6000000</v>
      </c>
      <c r="AO131" s="162">
        <v>6000000</v>
      </c>
      <c r="AP131" s="162">
        <v>6000000</v>
      </c>
      <c r="AQ131" s="162">
        <v>6000000</v>
      </c>
      <c r="AR131" s="162">
        <v>6000000</v>
      </c>
      <c r="AS131" s="162">
        <v>8000000</v>
      </c>
      <c r="AT131" s="43"/>
      <c r="AU131" s="43"/>
      <c r="AV131" s="43"/>
      <c r="AW131" s="43"/>
      <c r="AX131" s="43"/>
      <c r="AY131" s="43"/>
      <c r="AZ131" s="43"/>
      <c r="BA131" s="43"/>
      <c r="BB131" s="43"/>
      <c r="BC131" s="43"/>
      <c r="BD131" s="43"/>
    </row>
    <row r="132" spans="1:56" s="44" customFormat="1" x14ac:dyDescent="0.25">
      <c r="A132" s="158"/>
      <c r="B132" s="332"/>
      <c r="C132" s="41"/>
      <c r="D132" s="42"/>
      <c r="E132" s="40" t="s">
        <v>235</v>
      </c>
      <c r="F132" s="43">
        <v>140000000</v>
      </c>
      <c r="G132" s="43"/>
      <c r="H132" s="150"/>
      <c r="I132" s="151"/>
      <c r="J132" s="152"/>
      <c r="K132" s="43">
        <f t="shared" si="15"/>
        <v>140000000</v>
      </c>
      <c r="L132" s="76">
        <f t="shared" si="19"/>
        <v>140000000</v>
      </c>
      <c r="M132" s="43"/>
      <c r="N132" s="43"/>
      <c r="O132" s="43"/>
      <c r="P132" s="43"/>
      <c r="Q132" s="43"/>
      <c r="R132" s="43"/>
      <c r="S132" s="43"/>
      <c r="T132" s="43"/>
      <c r="U132" s="43"/>
      <c r="V132" s="43"/>
      <c r="W132" s="43"/>
      <c r="X132" s="43"/>
      <c r="Y132" s="43"/>
      <c r="Z132" s="43"/>
      <c r="AA132" s="43"/>
      <c r="AB132" s="43"/>
      <c r="AC132" s="43"/>
      <c r="AD132" s="43"/>
      <c r="AE132" s="162">
        <v>5000000</v>
      </c>
      <c r="AF132" s="162">
        <v>5000000</v>
      </c>
      <c r="AG132" s="162">
        <v>10000000</v>
      </c>
      <c r="AH132" s="162">
        <v>10000000</v>
      </c>
      <c r="AI132" s="162">
        <v>10000000</v>
      </c>
      <c r="AJ132" s="162">
        <v>10000000</v>
      </c>
      <c r="AK132" s="162">
        <v>10000000</v>
      </c>
      <c r="AL132" s="162">
        <v>10000000</v>
      </c>
      <c r="AM132" s="162">
        <v>10000000</v>
      </c>
      <c r="AN132" s="162">
        <v>10000000</v>
      </c>
      <c r="AO132" s="162">
        <v>10000000</v>
      </c>
      <c r="AP132" s="162">
        <v>10000000</v>
      </c>
      <c r="AQ132" s="162">
        <v>10000000</v>
      </c>
      <c r="AR132" s="162">
        <v>10000000</v>
      </c>
      <c r="AS132" s="162">
        <v>10000000</v>
      </c>
      <c r="AT132" s="43"/>
      <c r="AU132" s="43"/>
      <c r="AV132" s="43"/>
      <c r="AW132" s="43"/>
      <c r="AX132" s="43"/>
      <c r="AY132" s="43"/>
      <c r="AZ132" s="43"/>
      <c r="BA132" s="43"/>
      <c r="BB132" s="43"/>
      <c r="BC132" s="43"/>
      <c r="BD132" s="43"/>
    </row>
    <row r="133" spans="1:56" s="44" customFormat="1" x14ac:dyDescent="0.25">
      <c r="A133" s="158"/>
      <c r="B133" s="332"/>
      <c r="C133" s="41"/>
      <c r="D133" s="42"/>
      <c r="E133" s="40" t="s">
        <v>236</v>
      </c>
      <c r="F133" s="43">
        <v>320000000</v>
      </c>
      <c r="G133" s="43"/>
      <c r="H133" s="150"/>
      <c r="I133" s="151"/>
      <c r="J133" s="152"/>
      <c r="K133" s="43">
        <f t="shared" si="15"/>
        <v>320000000</v>
      </c>
      <c r="L133" s="76">
        <f t="shared" si="19"/>
        <v>320000000</v>
      </c>
      <c r="M133" s="43"/>
      <c r="N133" s="43"/>
      <c r="O133" s="43"/>
      <c r="P133" s="43"/>
      <c r="Q133" s="43"/>
      <c r="R133" s="43"/>
      <c r="S133" s="43"/>
      <c r="T133" s="43"/>
      <c r="U133" s="43"/>
      <c r="V133" s="43"/>
      <c r="W133" s="43"/>
      <c r="X133" s="43"/>
      <c r="Y133" s="43"/>
      <c r="Z133" s="43"/>
      <c r="AA133" s="43"/>
      <c r="AB133" s="43"/>
      <c r="AC133" s="162">
        <v>18000000</v>
      </c>
      <c r="AD133" s="162">
        <v>18000000</v>
      </c>
      <c r="AE133" s="162">
        <v>17000000</v>
      </c>
      <c r="AF133" s="162">
        <v>18000000</v>
      </c>
      <c r="AG133" s="162">
        <v>18000000</v>
      </c>
      <c r="AH133" s="162">
        <v>17000000</v>
      </c>
      <c r="AI133" s="162">
        <v>18000000</v>
      </c>
      <c r="AJ133" s="162">
        <v>17000000</v>
      </c>
      <c r="AK133" s="162">
        <v>18000000</v>
      </c>
      <c r="AL133" s="162">
        <v>17000000</v>
      </c>
      <c r="AM133" s="162">
        <v>18000000</v>
      </c>
      <c r="AN133" s="162">
        <v>17000000</v>
      </c>
      <c r="AO133" s="162">
        <v>18000000</v>
      </c>
      <c r="AP133" s="162">
        <v>17000000</v>
      </c>
      <c r="AQ133" s="162">
        <v>18000000</v>
      </c>
      <c r="AR133" s="162">
        <v>18000000</v>
      </c>
      <c r="AS133" s="162">
        <v>18000000</v>
      </c>
      <c r="AT133" s="162">
        <v>20000000</v>
      </c>
      <c r="AU133" s="43"/>
      <c r="AV133" s="43"/>
      <c r="AW133" s="43"/>
      <c r="AX133" s="43"/>
      <c r="AY133" s="43"/>
      <c r="AZ133" s="43"/>
      <c r="BA133" s="43"/>
      <c r="BB133" s="43"/>
      <c r="BC133" s="43"/>
      <c r="BD133" s="43"/>
    </row>
    <row r="134" spans="1:56" s="44" customFormat="1" x14ac:dyDescent="0.25">
      <c r="A134" s="158"/>
      <c r="B134" s="332"/>
      <c r="C134" s="41"/>
      <c r="D134" s="42"/>
      <c r="E134" s="40" t="s">
        <v>237</v>
      </c>
      <c r="F134" s="43">
        <v>237000000</v>
      </c>
      <c r="G134" s="43"/>
      <c r="H134" s="150"/>
      <c r="I134" s="151"/>
      <c r="J134" s="152"/>
      <c r="K134" s="43">
        <f t="shared" si="15"/>
        <v>237000000</v>
      </c>
      <c r="L134" s="76">
        <f t="shared" si="19"/>
        <v>237000000</v>
      </c>
      <c r="M134" s="43"/>
      <c r="N134" s="43"/>
      <c r="O134" s="43"/>
      <c r="P134" s="43"/>
      <c r="Q134" s="43"/>
      <c r="R134" s="43"/>
      <c r="S134" s="43"/>
      <c r="T134" s="43"/>
      <c r="U134" s="43"/>
      <c r="V134" s="162">
        <v>10000000</v>
      </c>
      <c r="W134" s="162">
        <v>10000000</v>
      </c>
      <c r="X134" s="162">
        <v>10000000</v>
      </c>
      <c r="Y134" s="162">
        <v>10000000</v>
      </c>
      <c r="Z134" s="162">
        <v>10000000</v>
      </c>
      <c r="AA134" s="162">
        <v>10000000</v>
      </c>
      <c r="AB134" s="162">
        <v>10000000</v>
      </c>
      <c r="AC134" s="162">
        <v>10000000</v>
      </c>
      <c r="AD134" s="162">
        <v>10000000</v>
      </c>
      <c r="AE134" s="162">
        <v>10000000</v>
      </c>
      <c r="AF134" s="162">
        <v>10000000</v>
      </c>
      <c r="AG134" s="162">
        <v>10000000</v>
      </c>
      <c r="AH134" s="162">
        <v>10000000</v>
      </c>
      <c r="AI134" s="162">
        <v>10000000</v>
      </c>
      <c r="AJ134" s="162">
        <v>10000000</v>
      </c>
      <c r="AK134" s="162">
        <v>10000000</v>
      </c>
      <c r="AL134" s="162">
        <v>10000000</v>
      </c>
      <c r="AM134" s="162">
        <v>10000000</v>
      </c>
      <c r="AN134" s="162">
        <v>10000000</v>
      </c>
      <c r="AO134" s="162">
        <v>10000000</v>
      </c>
      <c r="AP134" s="162">
        <v>10000000</v>
      </c>
      <c r="AQ134" s="162">
        <v>10000000</v>
      </c>
      <c r="AR134" s="162">
        <v>10000000</v>
      </c>
      <c r="AS134" s="162">
        <v>7000000</v>
      </c>
      <c r="AT134" s="43"/>
      <c r="AU134" s="43"/>
      <c r="AV134" s="43"/>
      <c r="AW134" s="43"/>
      <c r="AX134" s="43"/>
      <c r="AY134" s="43"/>
      <c r="AZ134" s="43"/>
      <c r="BA134" s="43"/>
      <c r="BB134" s="43"/>
      <c r="BC134" s="43"/>
      <c r="BD134" s="43"/>
    </row>
    <row r="135" spans="1:56" s="44" customFormat="1" x14ac:dyDescent="0.25">
      <c r="A135" s="158"/>
      <c r="B135" s="332"/>
      <c r="C135" s="41"/>
      <c r="D135" s="42"/>
      <c r="E135" s="40" t="s">
        <v>238</v>
      </c>
      <c r="F135" s="43">
        <v>100000000</v>
      </c>
      <c r="G135" s="43"/>
      <c r="H135" s="150"/>
      <c r="I135" s="151"/>
      <c r="J135" s="152"/>
      <c r="K135" s="43">
        <f t="shared" si="15"/>
        <v>100000000</v>
      </c>
      <c r="L135" s="76">
        <f t="shared" si="19"/>
        <v>100000000</v>
      </c>
      <c r="M135" s="43"/>
      <c r="N135" s="43"/>
      <c r="O135" s="43"/>
      <c r="P135" s="43"/>
      <c r="Q135" s="43"/>
      <c r="R135" s="43"/>
      <c r="S135" s="43"/>
      <c r="T135" s="43"/>
      <c r="U135" s="43"/>
      <c r="V135" s="43"/>
      <c r="W135" s="43"/>
      <c r="X135" s="43"/>
      <c r="Y135" s="43"/>
      <c r="Z135" s="43"/>
      <c r="AA135" s="162">
        <v>5000000</v>
      </c>
      <c r="AB135" s="162">
        <v>5000000</v>
      </c>
      <c r="AC135" s="162">
        <v>5000000</v>
      </c>
      <c r="AD135" s="162">
        <v>5000000</v>
      </c>
      <c r="AE135" s="162">
        <v>5000000</v>
      </c>
      <c r="AF135" s="162">
        <v>5000000</v>
      </c>
      <c r="AG135" s="162">
        <v>5000000</v>
      </c>
      <c r="AH135" s="162">
        <v>5000000</v>
      </c>
      <c r="AI135" s="162">
        <v>5000000</v>
      </c>
      <c r="AJ135" s="162">
        <v>5000000</v>
      </c>
      <c r="AK135" s="162">
        <v>5000000</v>
      </c>
      <c r="AL135" s="162">
        <v>5000000</v>
      </c>
      <c r="AM135" s="162">
        <v>5000000</v>
      </c>
      <c r="AN135" s="162">
        <v>5000000</v>
      </c>
      <c r="AO135" s="162">
        <v>5000000</v>
      </c>
      <c r="AP135" s="162">
        <v>5000000</v>
      </c>
      <c r="AQ135" s="162">
        <v>5000000</v>
      </c>
      <c r="AR135" s="162">
        <v>10000000</v>
      </c>
      <c r="AS135" s="162">
        <v>5000000</v>
      </c>
      <c r="AT135" s="43"/>
      <c r="AU135" s="43"/>
      <c r="AV135" s="43"/>
      <c r="AW135" s="43"/>
      <c r="AX135" s="43"/>
      <c r="AY135" s="43"/>
      <c r="AZ135" s="43"/>
      <c r="BA135" s="43"/>
      <c r="BB135" s="43"/>
      <c r="BC135" s="43"/>
      <c r="BD135" s="43"/>
    </row>
    <row r="136" spans="1:56" s="44" customFormat="1" x14ac:dyDescent="0.25">
      <c r="A136" s="158"/>
      <c r="B136" s="332"/>
      <c r="C136" s="41"/>
      <c r="D136" s="42"/>
      <c r="E136" s="40" t="s">
        <v>239</v>
      </c>
      <c r="F136" s="43">
        <v>250000000</v>
      </c>
      <c r="G136" s="43"/>
      <c r="H136" s="150"/>
      <c r="I136" s="151"/>
      <c r="J136" s="152"/>
      <c r="K136" s="43">
        <f t="shared" si="15"/>
        <v>250000000</v>
      </c>
      <c r="L136" s="76">
        <f t="shared" si="19"/>
        <v>250000000</v>
      </c>
      <c r="M136" s="43"/>
      <c r="N136" s="43"/>
      <c r="O136" s="43"/>
      <c r="P136" s="43"/>
      <c r="Q136" s="43"/>
      <c r="R136" s="43"/>
      <c r="S136" s="43"/>
      <c r="T136" s="43"/>
      <c r="U136" s="43"/>
      <c r="V136" s="43"/>
      <c r="W136" s="43"/>
      <c r="X136" s="43"/>
      <c r="Y136" s="43"/>
      <c r="Z136" s="43"/>
      <c r="AA136" s="162">
        <v>12500000</v>
      </c>
      <c r="AB136" s="162">
        <v>12500000</v>
      </c>
      <c r="AC136" s="162">
        <v>12500000</v>
      </c>
      <c r="AD136" s="162">
        <v>12500000</v>
      </c>
      <c r="AE136" s="162">
        <v>12500000</v>
      </c>
      <c r="AF136" s="162">
        <v>12500000</v>
      </c>
      <c r="AG136" s="162">
        <v>12500000</v>
      </c>
      <c r="AH136" s="162">
        <v>12500000</v>
      </c>
      <c r="AI136" s="162">
        <v>12500000</v>
      </c>
      <c r="AJ136" s="162">
        <v>12500000</v>
      </c>
      <c r="AK136" s="162">
        <v>12500000</v>
      </c>
      <c r="AL136" s="162">
        <v>12500000</v>
      </c>
      <c r="AM136" s="162">
        <v>12500000</v>
      </c>
      <c r="AN136" s="162">
        <v>12500000</v>
      </c>
      <c r="AO136" s="162">
        <v>12500000</v>
      </c>
      <c r="AP136" s="162">
        <v>12500000</v>
      </c>
      <c r="AQ136" s="162">
        <v>12500000</v>
      </c>
      <c r="AR136" s="162">
        <v>12500000</v>
      </c>
      <c r="AS136" s="162">
        <v>12500000</v>
      </c>
      <c r="AT136" s="43">
        <v>12500000</v>
      </c>
      <c r="AU136" s="43"/>
      <c r="AV136" s="43"/>
      <c r="AW136" s="43"/>
      <c r="AX136" s="43"/>
      <c r="AY136" s="43"/>
      <c r="AZ136" s="43"/>
      <c r="BA136" s="43"/>
      <c r="BB136" s="43"/>
      <c r="BC136" s="43"/>
      <c r="BD136" s="43"/>
    </row>
    <row r="137" spans="1:56" s="98" customFormat="1" x14ac:dyDescent="0.25">
      <c r="A137" s="189" t="s">
        <v>264</v>
      </c>
      <c r="B137" s="331"/>
      <c r="C137" s="156"/>
      <c r="D137" s="99"/>
      <c r="E137" s="92" t="s">
        <v>266</v>
      </c>
      <c r="F137" s="96">
        <f>-SUM(F131:F136)*0.5</f>
        <v>-569500000</v>
      </c>
      <c r="G137" s="96"/>
      <c r="H137" s="196"/>
      <c r="I137" s="197"/>
      <c r="J137" s="198"/>
      <c r="K137" s="96">
        <f>-SUM(K131:K136)*0.5</f>
        <v>-569500000</v>
      </c>
      <c r="L137" s="96">
        <f>-SUM(L131:L136)*0.5</f>
        <v>-569500000</v>
      </c>
      <c r="M137" s="96">
        <f t="shared" ref="M137:Z137" si="21">-SUM(M131:M136)*0.5</f>
        <v>0</v>
      </c>
      <c r="N137" s="96">
        <f t="shared" si="21"/>
        <v>0</v>
      </c>
      <c r="O137" s="96">
        <f t="shared" si="21"/>
        <v>0</v>
      </c>
      <c r="P137" s="96">
        <f t="shared" si="21"/>
        <v>0</v>
      </c>
      <c r="Q137" s="96">
        <f t="shared" si="21"/>
        <v>0</v>
      </c>
      <c r="R137" s="96">
        <f t="shared" si="21"/>
        <v>0</v>
      </c>
      <c r="S137" s="96">
        <f t="shared" si="21"/>
        <v>0</v>
      </c>
      <c r="T137" s="96">
        <f t="shared" si="21"/>
        <v>0</v>
      </c>
      <c r="U137" s="96">
        <f t="shared" si="21"/>
        <v>0</v>
      </c>
      <c r="V137" s="96">
        <f t="shared" si="21"/>
        <v>-5000000</v>
      </c>
      <c r="W137" s="96">
        <f t="shared" si="21"/>
        <v>-5000000</v>
      </c>
      <c r="X137" s="96">
        <f t="shared" si="21"/>
        <v>-5000000</v>
      </c>
      <c r="Y137" s="96">
        <f t="shared" si="21"/>
        <v>-5000000</v>
      </c>
      <c r="Z137" s="96">
        <f t="shared" si="21"/>
        <v>-5000000</v>
      </c>
      <c r="AA137" s="96">
        <f t="shared" ref="AA137:BD137" si="22">-SUM(AA131:AA136)*0.5</f>
        <v>-13750000</v>
      </c>
      <c r="AB137" s="96">
        <f t="shared" si="22"/>
        <v>-13750000</v>
      </c>
      <c r="AC137" s="96">
        <f t="shared" si="22"/>
        <v>-22750000</v>
      </c>
      <c r="AD137" s="96">
        <f t="shared" si="22"/>
        <v>-22750000</v>
      </c>
      <c r="AE137" s="96">
        <f t="shared" si="22"/>
        <v>-27750000</v>
      </c>
      <c r="AF137" s="96">
        <f t="shared" si="22"/>
        <v>-28250000</v>
      </c>
      <c r="AG137" s="96">
        <f t="shared" si="22"/>
        <v>-30750000</v>
      </c>
      <c r="AH137" s="96">
        <f t="shared" si="22"/>
        <v>-30250000</v>
      </c>
      <c r="AI137" s="96">
        <f t="shared" si="22"/>
        <v>-30750000</v>
      </c>
      <c r="AJ137" s="96">
        <f t="shared" si="22"/>
        <v>-30250000</v>
      </c>
      <c r="AK137" s="96">
        <f t="shared" si="22"/>
        <v>-30750000</v>
      </c>
      <c r="AL137" s="96">
        <f t="shared" si="22"/>
        <v>-30250000</v>
      </c>
      <c r="AM137" s="96">
        <f t="shared" si="22"/>
        <v>-30750000</v>
      </c>
      <c r="AN137" s="96">
        <f t="shared" si="22"/>
        <v>-30250000</v>
      </c>
      <c r="AO137" s="96">
        <f t="shared" si="22"/>
        <v>-30750000</v>
      </c>
      <c r="AP137" s="96">
        <f t="shared" si="22"/>
        <v>-30250000</v>
      </c>
      <c r="AQ137" s="96">
        <f t="shared" si="22"/>
        <v>-30750000</v>
      </c>
      <c r="AR137" s="96">
        <f t="shared" si="22"/>
        <v>-33250000</v>
      </c>
      <c r="AS137" s="96">
        <f t="shared" si="22"/>
        <v>-30250000</v>
      </c>
      <c r="AT137" s="96">
        <f t="shared" si="22"/>
        <v>-16250000</v>
      </c>
      <c r="AU137" s="96">
        <f t="shared" si="22"/>
        <v>0</v>
      </c>
      <c r="AV137" s="96">
        <f t="shared" si="22"/>
        <v>0</v>
      </c>
      <c r="AW137" s="96">
        <f t="shared" si="22"/>
        <v>0</v>
      </c>
      <c r="AX137" s="96">
        <f t="shared" si="22"/>
        <v>0</v>
      </c>
      <c r="AY137" s="96">
        <f t="shared" si="22"/>
        <v>0</v>
      </c>
      <c r="AZ137" s="96">
        <f t="shared" si="22"/>
        <v>0</v>
      </c>
      <c r="BA137" s="96">
        <f t="shared" si="22"/>
        <v>0</v>
      </c>
      <c r="BB137" s="96">
        <f t="shared" si="22"/>
        <v>0</v>
      </c>
      <c r="BC137" s="96">
        <f t="shared" si="22"/>
        <v>0</v>
      </c>
      <c r="BD137" s="96">
        <f t="shared" si="22"/>
        <v>0</v>
      </c>
    </row>
    <row r="138" spans="1:56" s="44" customFormat="1" x14ac:dyDescent="0.25">
      <c r="A138" s="159"/>
      <c r="B138" s="47" t="s">
        <v>100</v>
      </c>
      <c r="C138" s="41"/>
      <c r="D138" s="42"/>
      <c r="E138" s="40" t="s">
        <v>100</v>
      </c>
      <c r="F138" s="43"/>
      <c r="G138" s="43"/>
      <c r="H138" s="150"/>
      <c r="I138" s="151"/>
      <c r="J138" s="152"/>
      <c r="K138" s="43">
        <f t="shared" si="15"/>
        <v>0</v>
      </c>
      <c r="L138" s="76">
        <f t="shared" si="19"/>
        <v>0</v>
      </c>
      <c r="M138" s="43"/>
      <c r="N138" s="43"/>
      <c r="O138" s="43"/>
      <c r="P138" s="43"/>
      <c r="Q138" s="43"/>
      <c r="R138" s="43"/>
      <c r="S138" s="43"/>
      <c r="T138" s="43"/>
      <c r="U138" s="43"/>
      <c r="V138" s="43"/>
      <c r="W138" s="43"/>
      <c r="X138" s="43"/>
      <c r="Y138" s="43"/>
      <c r="Z138" s="43"/>
      <c r="AA138" s="43"/>
      <c r="AB138" s="43"/>
      <c r="AC138" s="43"/>
      <c r="AD138" s="43"/>
      <c r="AE138" s="43"/>
      <c r="AF138" s="43"/>
      <c r="AG138" s="43"/>
      <c r="AH138" s="43"/>
      <c r="AI138" s="43"/>
      <c r="AJ138" s="43"/>
      <c r="AK138" s="43"/>
      <c r="AL138" s="43"/>
      <c r="AM138" s="43"/>
      <c r="AN138" s="43"/>
      <c r="AO138" s="43"/>
      <c r="AP138" s="43"/>
      <c r="AQ138" s="43"/>
      <c r="AR138" s="43"/>
      <c r="AS138" s="43"/>
      <c r="AT138" s="43"/>
      <c r="AU138" s="43"/>
      <c r="AV138" s="43"/>
      <c r="AW138" s="43"/>
      <c r="AX138" s="43"/>
      <c r="AY138" s="43"/>
      <c r="AZ138" s="43"/>
      <c r="BA138" s="43"/>
      <c r="BB138" s="43"/>
      <c r="BC138" s="43"/>
      <c r="BD138" s="43"/>
    </row>
    <row r="139" spans="1:56" s="5" customFormat="1" ht="15.75" customHeight="1" x14ac:dyDescent="0.25">
      <c r="A139" s="8" t="s">
        <v>205</v>
      </c>
      <c r="B139" s="10"/>
      <c r="C139" s="147">
        <v>127000000</v>
      </c>
      <c r="D139" s="9"/>
      <c r="E139" s="36"/>
      <c r="F139" s="11"/>
      <c r="G139" s="48"/>
      <c r="H139" s="285"/>
      <c r="I139" s="286"/>
      <c r="J139" s="287"/>
      <c r="K139" s="18">
        <f t="shared" si="15"/>
        <v>0</v>
      </c>
      <c r="L139" s="121">
        <f t="shared" si="19"/>
        <v>0</v>
      </c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  <c r="AY139" s="11"/>
      <c r="AZ139" s="11"/>
      <c r="BA139" s="11"/>
      <c r="BB139" s="11"/>
      <c r="BC139" s="11"/>
      <c r="BD139" s="11"/>
    </row>
    <row r="140" spans="1:56" s="44" customFormat="1" x14ac:dyDescent="0.25">
      <c r="A140" s="158"/>
      <c r="B140" s="40" t="s">
        <v>181</v>
      </c>
      <c r="C140" s="41"/>
      <c r="D140" s="42"/>
      <c r="E140" s="40" t="s">
        <v>240</v>
      </c>
      <c r="F140" s="43">
        <v>120000000</v>
      </c>
      <c r="G140" s="43"/>
      <c r="H140" s="309"/>
      <c r="I140" s="310"/>
      <c r="J140" s="311"/>
      <c r="K140" s="43">
        <f t="shared" si="15"/>
        <v>120000000</v>
      </c>
      <c r="L140" s="76">
        <f t="shared" ref="L140:L159" si="23">SUM(M140:BD140)</f>
        <v>120000000</v>
      </c>
      <c r="M140" s="43"/>
      <c r="N140" s="43"/>
      <c r="O140" s="43"/>
      <c r="P140" s="43"/>
      <c r="Q140" s="43"/>
      <c r="R140" s="43"/>
      <c r="S140" s="43"/>
      <c r="T140" s="43"/>
      <c r="U140" s="43"/>
      <c r="V140" s="43"/>
      <c r="W140" s="43"/>
      <c r="X140" s="43"/>
      <c r="Y140" s="43"/>
      <c r="Z140" s="43"/>
      <c r="AA140" s="43"/>
      <c r="AB140" s="43"/>
      <c r="AC140" s="43"/>
      <c r="AD140" s="43"/>
      <c r="AE140" s="43"/>
      <c r="AF140" s="43"/>
      <c r="AG140" s="43"/>
      <c r="AH140" s="162">
        <v>60000000</v>
      </c>
      <c r="AI140" s="162"/>
      <c r="AJ140" s="162"/>
      <c r="AK140" s="162"/>
      <c r="AL140" s="162">
        <v>15000000</v>
      </c>
      <c r="AM140" s="162"/>
      <c r="AN140" s="162">
        <v>15000000</v>
      </c>
      <c r="AO140" s="162"/>
      <c r="AP140" s="162"/>
      <c r="AQ140" s="162">
        <v>15000000</v>
      </c>
      <c r="AR140" s="162"/>
      <c r="AS140" s="162">
        <v>15000000</v>
      </c>
      <c r="AT140" s="43"/>
      <c r="AU140" s="43"/>
      <c r="AV140" s="43"/>
      <c r="AW140" s="43"/>
      <c r="AX140" s="43"/>
      <c r="AY140" s="43"/>
      <c r="AZ140" s="43"/>
      <c r="BA140" s="43"/>
      <c r="BB140" s="43"/>
      <c r="BC140" s="43"/>
      <c r="BD140" s="43"/>
    </row>
    <row r="141" spans="1:56" s="44" customFormat="1" x14ac:dyDescent="0.25">
      <c r="A141" s="158"/>
      <c r="B141" s="40" t="s">
        <v>181</v>
      </c>
      <c r="C141" s="41"/>
      <c r="D141" s="42"/>
      <c r="E141" s="40" t="s">
        <v>241</v>
      </c>
      <c r="F141" s="43">
        <v>7000000</v>
      </c>
      <c r="G141" s="43"/>
      <c r="H141" s="150"/>
      <c r="I141" s="151"/>
      <c r="J141" s="152"/>
      <c r="K141" s="43">
        <f t="shared" si="15"/>
        <v>7000000</v>
      </c>
      <c r="L141" s="76">
        <f t="shared" si="23"/>
        <v>7000000</v>
      </c>
      <c r="M141" s="43"/>
      <c r="N141" s="43"/>
      <c r="O141" s="43"/>
      <c r="P141" s="43"/>
      <c r="Q141" s="43"/>
      <c r="R141" s="43"/>
      <c r="S141" s="43"/>
      <c r="T141" s="43"/>
      <c r="U141" s="43"/>
      <c r="V141" s="43"/>
      <c r="W141" s="43"/>
      <c r="X141" s="43"/>
      <c r="Y141" s="43"/>
      <c r="Z141" s="43"/>
      <c r="AA141" s="43"/>
      <c r="AB141" s="43"/>
      <c r="AC141" s="43"/>
      <c r="AD141" s="43"/>
      <c r="AE141" s="43"/>
      <c r="AF141" s="43"/>
      <c r="AG141" s="43"/>
      <c r="AH141" s="43"/>
      <c r="AI141" s="43"/>
      <c r="AJ141" s="43"/>
      <c r="AK141" s="43"/>
      <c r="AL141" s="43"/>
      <c r="AM141" s="43"/>
      <c r="AN141" s="43"/>
      <c r="AO141" s="43"/>
      <c r="AP141" s="43"/>
      <c r="AQ141" s="43"/>
      <c r="AR141" s="162">
        <v>4000000</v>
      </c>
      <c r="AS141" s="162">
        <v>3000000</v>
      </c>
      <c r="AT141" s="43"/>
      <c r="AU141" s="43"/>
      <c r="AV141" s="43"/>
      <c r="AW141" s="43"/>
      <c r="AX141" s="43"/>
      <c r="AY141" s="43"/>
      <c r="AZ141" s="43"/>
      <c r="BA141" s="43"/>
      <c r="BB141" s="43"/>
      <c r="BC141" s="43"/>
      <c r="BD141" s="43"/>
    </row>
    <row r="142" spans="1:56" s="44" customFormat="1" x14ac:dyDescent="0.25">
      <c r="A142" s="159"/>
      <c r="B142" s="40" t="s">
        <v>100</v>
      </c>
      <c r="C142" s="41"/>
      <c r="D142" s="42"/>
      <c r="E142" s="40" t="s">
        <v>100</v>
      </c>
      <c r="F142" s="43"/>
      <c r="G142" s="43"/>
      <c r="H142" s="309"/>
      <c r="I142" s="310"/>
      <c r="J142" s="311"/>
      <c r="K142" s="43">
        <f t="shared" si="15"/>
        <v>0</v>
      </c>
      <c r="L142" s="76">
        <f t="shared" si="23"/>
        <v>0</v>
      </c>
      <c r="M142" s="43"/>
      <c r="N142" s="43"/>
      <c r="O142" s="43"/>
      <c r="P142" s="43"/>
      <c r="Q142" s="43"/>
      <c r="R142" s="43"/>
      <c r="S142" s="43"/>
      <c r="T142" s="43"/>
      <c r="U142" s="43"/>
      <c r="V142" s="43"/>
      <c r="W142" s="43"/>
      <c r="X142" s="43"/>
      <c r="Y142" s="43"/>
      <c r="Z142" s="43"/>
      <c r="AA142" s="43"/>
      <c r="AB142" s="43"/>
      <c r="AC142" s="43"/>
      <c r="AD142" s="43"/>
      <c r="AE142" s="43"/>
      <c r="AF142" s="43"/>
      <c r="AG142" s="43"/>
      <c r="AH142" s="43"/>
      <c r="AI142" s="43"/>
      <c r="AJ142" s="43"/>
      <c r="AK142" s="43"/>
      <c r="AL142" s="43"/>
      <c r="AM142" s="43"/>
      <c r="AN142" s="43"/>
      <c r="AO142" s="43"/>
      <c r="AP142" s="43"/>
      <c r="AQ142" s="43"/>
      <c r="AR142" s="43"/>
      <c r="AS142" s="43"/>
      <c r="AT142" s="43"/>
      <c r="AU142" s="43"/>
      <c r="AV142" s="43"/>
      <c r="AW142" s="43"/>
      <c r="AX142" s="43"/>
      <c r="AY142" s="43"/>
      <c r="AZ142" s="43"/>
      <c r="BA142" s="43"/>
      <c r="BB142" s="43"/>
      <c r="BC142" s="43"/>
      <c r="BD142" s="43"/>
    </row>
    <row r="143" spans="1:56" s="5" customFormat="1" ht="15.75" customHeight="1" x14ac:dyDescent="0.25">
      <c r="A143" s="137" t="s">
        <v>206</v>
      </c>
      <c r="B143" s="10"/>
      <c r="C143" s="147">
        <v>210000000</v>
      </c>
      <c r="D143" s="9"/>
      <c r="E143" s="36"/>
      <c r="F143" s="11"/>
      <c r="G143" s="48"/>
      <c r="H143" s="285"/>
      <c r="I143" s="286"/>
      <c r="J143" s="287"/>
      <c r="K143" s="18">
        <f t="shared" si="15"/>
        <v>0</v>
      </c>
      <c r="L143" s="121">
        <f t="shared" si="23"/>
        <v>0</v>
      </c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  <c r="AY143" s="11"/>
      <c r="AZ143" s="11"/>
      <c r="BA143" s="11"/>
      <c r="BB143" s="11"/>
      <c r="BC143" s="11"/>
      <c r="BD143" s="11"/>
    </row>
    <row r="144" spans="1:56" s="44" customFormat="1" x14ac:dyDescent="0.25">
      <c r="A144" s="160"/>
      <c r="B144" s="330" t="s">
        <v>181</v>
      </c>
      <c r="C144" s="41"/>
      <c r="D144" s="42"/>
      <c r="E144" s="40" t="s">
        <v>242</v>
      </c>
      <c r="F144" s="43">
        <v>210000000</v>
      </c>
      <c r="G144" s="43"/>
      <c r="H144" s="309"/>
      <c r="I144" s="310"/>
      <c r="J144" s="311"/>
      <c r="K144" s="43">
        <f t="shared" si="15"/>
        <v>210000000</v>
      </c>
      <c r="L144" s="76">
        <f t="shared" si="23"/>
        <v>210000000</v>
      </c>
      <c r="M144" s="43"/>
      <c r="N144" s="43"/>
      <c r="O144" s="43"/>
      <c r="P144" s="43"/>
      <c r="Q144" s="43"/>
      <c r="R144" s="43"/>
      <c r="S144" s="43"/>
      <c r="T144" s="43"/>
      <c r="U144" s="43"/>
      <c r="V144" s="43"/>
      <c r="W144" s="43"/>
      <c r="X144" s="43"/>
      <c r="Y144" s="43"/>
      <c r="Z144" s="43"/>
      <c r="AA144" s="43"/>
      <c r="AB144" s="43"/>
      <c r="AC144" s="43"/>
      <c r="AD144" s="43"/>
      <c r="AE144" s="43"/>
      <c r="AF144" s="162">
        <v>5000000</v>
      </c>
      <c r="AG144" s="162">
        <v>10000000</v>
      </c>
      <c r="AH144" s="162">
        <v>20000000</v>
      </c>
      <c r="AI144" s="162">
        <v>20000000</v>
      </c>
      <c r="AJ144" s="162">
        <v>20000000</v>
      </c>
      <c r="AK144" s="162">
        <v>20000000</v>
      </c>
      <c r="AL144" s="162">
        <v>20000000</v>
      </c>
      <c r="AM144" s="162">
        <v>15000000</v>
      </c>
      <c r="AN144" s="162">
        <v>10000000</v>
      </c>
      <c r="AO144" s="162">
        <v>5000000</v>
      </c>
      <c r="AP144" s="162">
        <v>5000000</v>
      </c>
      <c r="AQ144" s="162">
        <v>5000000</v>
      </c>
      <c r="AR144" s="162">
        <v>5000000</v>
      </c>
      <c r="AS144" s="162">
        <v>10000000</v>
      </c>
      <c r="AT144" s="162">
        <v>20000000</v>
      </c>
      <c r="AU144" s="162">
        <v>20000000</v>
      </c>
      <c r="AV144" s="43"/>
      <c r="AW144" s="43"/>
      <c r="AX144" s="43"/>
      <c r="AY144" s="43"/>
      <c r="AZ144" s="43"/>
      <c r="BA144" s="43"/>
      <c r="BB144" s="43"/>
      <c r="BC144" s="43"/>
      <c r="BD144" s="43"/>
    </row>
    <row r="145" spans="1:56" s="98" customFormat="1" x14ac:dyDescent="0.25">
      <c r="A145" s="189" t="s">
        <v>264</v>
      </c>
      <c r="B145" s="331"/>
      <c r="C145" s="156"/>
      <c r="D145" s="99"/>
      <c r="E145" s="92" t="s">
        <v>266</v>
      </c>
      <c r="F145" s="96">
        <f>-F144*0.5</f>
        <v>-105000000</v>
      </c>
      <c r="G145" s="96"/>
      <c r="H145" s="196"/>
      <c r="I145" s="197"/>
      <c r="J145" s="198"/>
      <c r="K145" s="96">
        <f>-K144*0.5</f>
        <v>-105000000</v>
      </c>
      <c r="L145" s="96">
        <f t="shared" ref="L145:BD145" si="24">-L144*0.5</f>
        <v>-105000000</v>
      </c>
      <c r="M145" s="96">
        <f t="shared" si="24"/>
        <v>0</v>
      </c>
      <c r="N145" s="96">
        <f t="shared" si="24"/>
        <v>0</v>
      </c>
      <c r="O145" s="96">
        <f t="shared" si="24"/>
        <v>0</v>
      </c>
      <c r="P145" s="96">
        <f t="shared" si="24"/>
        <v>0</v>
      </c>
      <c r="Q145" s="96">
        <f t="shared" si="24"/>
        <v>0</v>
      </c>
      <c r="R145" s="96">
        <f t="shared" si="24"/>
        <v>0</v>
      </c>
      <c r="S145" s="96">
        <f t="shared" si="24"/>
        <v>0</v>
      </c>
      <c r="T145" s="96">
        <f t="shared" si="24"/>
        <v>0</v>
      </c>
      <c r="U145" s="96">
        <f t="shared" si="24"/>
        <v>0</v>
      </c>
      <c r="V145" s="96">
        <f t="shared" si="24"/>
        <v>0</v>
      </c>
      <c r="W145" s="96">
        <f t="shared" si="24"/>
        <v>0</v>
      </c>
      <c r="X145" s="96">
        <f t="shared" si="24"/>
        <v>0</v>
      </c>
      <c r="Y145" s="96">
        <f t="shared" si="24"/>
        <v>0</v>
      </c>
      <c r="Z145" s="96">
        <f t="shared" si="24"/>
        <v>0</v>
      </c>
      <c r="AA145" s="96">
        <f t="shared" si="24"/>
        <v>0</v>
      </c>
      <c r="AB145" s="96">
        <f t="shared" si="24"/>
        <v>0</v>
      </c>
      <c r="AC145" s="96">
        <f t="shared" si="24"/>
        <v>0</v>
      </c>
      <c r="AD145" s="96">
        <f t="shared" si="24"/>
        <v>0</v>
      </c>
      <c r="AE145" s="96">
        <f t="shared" si="24"/>
        <v>0</v>
      </c>
      <c r="AF145" s="96">
        <f t="shared" si="24"/>
        <v>-2500000</v>
      </c>
      <c r="AG145" s="96">
        <f t="shared" si="24"/>
        <v>-5000000</v>
      </c>
      <c r="AH145" s="96">
        <f t="shared" si="24"/>
        <v>-10000000</v>
      </c>
      <c r="AI145" s="96">
        <f t="shared" si="24"/>
        <v>-10000000</v>
      </c>
      <c r="AJ145" s="96">
        <f t="shared" si="24"/>
        <v>-10000000</v>
      </c>
      <c r="AK145" s="96">
        <f t="shared" si="24"/>
        <v>-10000000</v>
      </c>
      <c r="AL145" s="96">
        <f t="shared" si="24"/>
        <v>-10000000</v>
      </c>
      <c r="AM145" s="96">
        <f t="shared" si="24"/>
        <v>-7500000</v>
      </c>
      <c r="AN145" s="96">
        <f t="shared" si="24"/>
        <v>-5000000</v>
      </c>
      <c r="AO145" s="96">
        <f t="shared" si="24"/>
        <v>-2500000</v>
      </c>
      <c r="AP145" s="96">
        <f t="shared" si="24"/>
        <v>-2500000</v>
      </c>
      <c r="AQ145" s="96">
        <f t="shared" si="24"/>
        <v>-2500000</v>
      </c>
      <c r="AR145" s="96">
        <f t="shared" si="24"/>
        <v>-2500000</v>
      </c>
      <c r="AS145" s="96">
        <f t="shared" si="24"/>
        <v>-5000000</v>
      </c>
      <c r="AT145" s="96">
        <f t="shared" si="24"/>
        <v>-10000000</v>
      </c>
      <c r="AU145" s="96">
        <f t="shared" si="24"/>
        <v>-10000000</v>
      </c>
      <c r="AV145" s="96">
        <f t="shared" si="24"/>
        <v>0</v>
      </c>
      <c r="AW145" s="96">
        <f t="shared" si="24"/>
        <v>0</v>
      </c>
      <c r="AX145" s="96">
        <f t="shared" si="24"/>
        <v>0</v>
      </c>
      <c r="AY145" s="96">
        <f t="shared" si="24"/>
        <v>0</v>
      </c>
      <c r="AZ145" s="96">
        <f t="shared" si="24"/>
        <v>0</v>
      </c>
      <c r="BA145" s="96">
        <f t="shared" si="24"/>
        <v>0</v>
      </c>
      <c r="BB145" s="96">
        <f t="shared" si="24"/>
        <v>0</v>
      </c>
      <c r="BC145" s="96">
        <f t="shared" si="24"/>
        <v>0</v>
      </c>
      <c r="BD145" s="96">
        <f t="shared" si="24"/>
        <v>0</v>
      </c>
    </row>
    <row r="146" spans="1:56" s="44" customFormat="1" x14ac:dyDescent="0.25">
      <c r="A146" s="159"/>
      <c r="B146" s="47" t="s">
        <v>100</v>
      </c>
      <c r="C146" s="41"/>
      <c r="D146" s="42"/>
      <c r="E146" s="40" t="s">
        <v>100</v>
      </c>
      <c r="F146" s="43"/>
      <c r="G146" s="43"/>
      <c r="H146" s="150"/>
      <c r="I146" s="151"/>
      <c r="J146" s="152"/>
      <c r="K146" s="43">
        <f t="shared" si="15"/>
        <v>0</v>
      </c>
      <c r="L146" s="76">
        <f t="shared" si="23"/>
        <v>0</v>
      </c>
      <c r="M146" s="43"/>
      <c r="N146" s="43"/>
      <c r="O146" s="43"/>
      <c r="P146" s="43"/>
      <c r="Q146" s="43"/>
      <c r="R146" s="43"/>
      <c r="S146" s="43"/>
      <c r="T146" s="43"/>
      <c r="U146" s="43"/>
      <c r="V146" s="43"/>
      <c r="W146" s="43"/>
      <c r="X146" s="43"/>
      <c r="Y146" s="43"/>
      <c r="Z146" s="43"/>
      <c r="AA146" s="43"/>
      <c r="AB146" s="43"/>
      <c r="AC146" s="43"/>
      <c r="AD146" s="43"/>
      <c r="AE146" s="43"/>
      <c r="AF146" s="43"/>
      <c r="AG146" s="43"/>
      <c r="AH146" s="43"/>
      <c r="AI146" s="43"/>
      <c r="AJ146" s="43"/>
      <c r="AK146" s="43"/>
      <c r="AL146" s="43"/>
      <c r="AM146" s="43"/>
      <c r="AN146" s="43"/>
      <c r="AO146" s="43"/>
      <c r="AP146" s="43"/>
      <c r="AQ146" s="43"/>
      <c r="AR146" s="43"/>
      <c r="AS146" s="43"/>
      <c r="AT146" s="43"/>
      <c r="AU146" s="43"/>
      <c r="AV146" s="43"/>
      <c r="AW146" s="43"/>
      <c r="AX146" s="43"/>
      <c r="AY146" s="43"/>
      <c r="AZ146" s="43"/>
      <c r="BA146" s="43"/>
      <c r="BB146" s="43"/>
      <c r="BC146" s="43"/>
      <c r="BD146" s="43"/>
    </row>
    <row r="147" spans="1:56" s="5" customFormat="1" ht="15.75" customHeight="1" x14ac:dyDescent="0.25">
      <c r="A147" s="137" t="s">
        <v>207</v>
      </c>
      <c r="B147" s="10"/>
      <c r="C147" s="147">
        <v>493000000</v>
      </c>
      <c r="D147" s="9"/>
      <c r="E147" s="36"/>
      <c r="F147" s="11"/>
      <c r="G147" s="48"/>
      <c r="H147" s="285"/>
      <c r="I147" s="286"/>
      <c r="J147" s="287"/>
      <c r="K147" s="18">
        <f t="shared" si="15"/>
        <v>0</v>
      </c>
      <c r="L147" s="121">
        <f t="shared" si="23"/>
        <v>0</v>
      </c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  <c r="AY147" s="11"/>
      <c r="AZ147" s="11"/>
      <c r="BA147" s="11"/>
      <c r="BB147" s="11"/>
      <c r="BC147" s="11"/>
      <c r="BD147" s="11"/>
    </row>
    <row r="148" spans="1:56" s="44" customFormat="1" x14ac:dyDescent="0.25">
      <c r="A148" s="160"/>
      <c r="B148" s="47" t="s">
        <v>181</v>
      </c>
      <c r="C148" s="41"/>
      <c r="D148" s="42"/>
      <c r="E148" s="40" t="s">
        <v>226</v>
      </c>
      <c r="F148" s="43">
        <v>22000000</v>
      </c>
      <c r="G148" s="43"/>
      <c r="H148" s="312"/>
      <c r="I148" s="313"/>
      <c r="J148" s="314"/>
      <c r="K148" s="43">
        <f t="shared" si="15"/>
        <v>22000000</v>
      </c>
      <c r="L148" s="76">
        <f t="shared" si="23"/>
        <v>22000000</v>
      </c>
      <c r="M148" s="43"/>
      <c r="N148" s="43"/>
      <c r="O148" s="43"/>
      <c r="P148" s="43"/>
      <c r="Q148" s="43"/>
      <c r="R148" s="43"/>
      <c r="S148" s="43"/>
      <c r="T148" s="43"/>
      <c r="U148" s="43"/>
      <c r="V148" s="43"/>
      <c r="W148" s="43"/>
      <c r="X148" s="43"/>
      <c r="Y148" s="43"/>
      <c r="Z148" s="43"/>
      <c r="AA148" s="43"/>
      <c r="AB148" s="43"/>
      <c r="AC148" s="43"/>
      <c r="AD148" s="43"/>
      <c r="AE148" s="43"/>
      <c r="AF148" s="43"/>
      <c r="AG148" s="43"/>
      <c r="AH148" s="43"/>
      <c r="AI148" s="43"/>
      <c r="AJ148" s="162">
        <v>11000000</v>
      </c>
      <c r="AK148" s="162">
        <v>11000000</v>
      </c>
      <c r="AL148" s="43"/>
      <c r="AM148" s="43"/>
      <c r="AN148" s="43"/>
      <c r="AO148" s="43"/>
      <c r="AP148" s="43"/>
      <c r="AQ148" s="43"/>
      <c r="AR148" s="43"/>
      <c r="AS148" s="43"/>
      <c r="AT148" s="43"/>
      <c r="AU148" s="43"/>
      <c r="AV148" s="43"/>
      <c r="AW148" s="43"/>
      <c r="AX148" s="43"/>
      <c r="AY148" s="43"/>
      <c r="AZ148" s="43"/>
      <c r="BA148" s="43"/>
      <c r="BB148" s="43"/>
      <c r="BC148" s="43"/>
      <c r="BD148" s="43"/>
    </row>
    <row r="149" spans="1:56" s="44" customFormat="1" x14ac:dyDescent="0.25">
      <c r="A149" s="158"/>
      <c r="B149" s="47" t="s">
        <v>181</v>
      </c>
      <c r="C149" s="41"/>
      <c r="D149" s="42"/>
      <c r="E149" s="40" t="s">
        <v>227</v>
      </c>
      <c r="F149" s="43">
        <v>45000000</v>
      </c>
      <c r="G149" s="43"/>
      <c r="H149" s="312"/>
      <c r="I149" s="313"/>
      <c r="J149" s="314"/>
      <c r="K149" s="43">
        <f t="shared" si="15"/>
        <v>45000000</v>
      </c>
      <c r="L149" s="76">
        <f t="shared" si="23"/>
        <v>45000000</v>
      </c>
      <c r="M149" s="43"/>
      <c r="N149" s="43"/>
      <c r="O149" s="43"/>
      <c r="P149" s="43"/>
      <c r="Q149" s="43"/>
      <c r="R149" s="43"/>
      <c r="S149" s="43"/>
      <c r="T149" s="43"/>
      <c r="U149" s="43"/>
      <c r="V149" s="43"/>
      <c r="W149" s="43"/>
      <c r="X149" s="43"/>
      <c r="Y149" s="43"/>
      <c r="Z149" s="43"/>
      <c r="AA149" s="43"/>
      <c r="AB149" s="43"/>
      <c r="AC149" s="162">
        <v>5000000</v>
      </c>
      <c r="AD149" s="162">
        <v>5000000</v>
      </c>
      <c r="AE149" s="162">
        <v>5000000</v>
      </c>
      <c r="AF149" s="162">
        <v>5000000</v>
      </c>
      <c r="AG149" s="162">
        <v>5000000</v>
      </c>
      <c r="AH149" s="162">
        <v>5000000</v>
      </c>
      <c r="AI149" s="162">
        <v>5000000</v>
      </c>
      <c r="AJ149" s="162">
        <v>5000000</v>
      </c>
      <c r="AK149" s="162">
        <v>5000000</v>
      </c>
      <c r="AL149" s="43"/>
      <c r="AM149" s="43"/>
      <c r="AN149" s="43"/>
      <c r="AO149" s="43"/>
      <c r="AP149" s="43"/>
      <c r="AQ149" s="43"/>
      <c r="AR149" s="43"/>
      <c r="AS149" s="43"/>
      <c r="AT149" s="43"/>
      <c r="AU149" s="43"/>
      <c r="AV149" s="43"/>
      <c r="AW149" s="43"/>
      <c r="AX149" s="43"/>
      <c r="AY149" s="43"/>
      <c r="AZ149" s="43"/>
      <c r="BA149" s="43"/>
      <c r="BB149" s="43"/>
      <c r="BC149" s="43"/>
      <c r="BD149" s="43"/>
    </row>
    <row r="150" spans="1:56" s="44" customFormat="1" x14ac:dyDescent="0.25">
      <c r="A150" s="158"/>
      <c r="B150" s="47" t="s">
        <v>181</v>
      </c>
      <c r="C150" s="41"/>
      <c r="D150" s="42"/>
      <c r="E150" s="40" t="s">
        <v>228</v>
      </c>
      <c r="F150" s="43">
        <v>10000000</v>
      </c>
      <c r="G150" s="43"/>
      <c r="H150" s="312"/>
      <c r="I150" s="313"/>
      <c r="J150" s="314"/>
      <c r="K150" s="43">
        <f t="shared" si="15"/>
        <v>10000000</v>
      </c>
      <c r="L150" s="76">
        <f t="shared" si="23"/>
        <v>10000000</v>
      </c>
      <c r="M150" s="43"/>
      <c r="N150" s="43"/>
      <c r="O150" s="43"/>
      <c r="P150" s="43"/>
      <c r="Q150" s="43"/>
      <c r="R150" s="43"/>
      <c r="S150" s="43"/>
      <c r="T150" s="43"/>
      <c r="U150" s="43"/>
      <c r="V150" s="43"/>
      <c r="W150" s="43"/>
      <c r="X150" s="43"/>
      <c r="Y150" s="43"/>
      <c r="Z150" s="43"/>
      <c r="AA150" s="43"/>
      <c r="AB150" s="43"/>
      <c r="AC150" s="43"/>
      <c r="AD150" s="43"/>
      <c r="AE150" s="43"/>
      <c r="AF150" s="43"/>
      <c r="AG150" s="43"/>
      <c r="AH150" s="43"/>
      <c r="AI150" s="162">
        <v>5000000</v>
      </c>
      <c r="AJ150" s="162">
        <v>5000000</v>
      </c>
      <c r="AK150" s="43"/>
      <c r="AL150" s="43"/>
      <c r="AM150" s="43"/>
      <c r="AN150" s="43"/>
      <c r="AO150" s="43"/>
      <c r="AP150" s="43"/>
      <c r="AQ150" s="43"/>
      <c r="AR150" s="43"/>
      <c r="AS150" s="43"/>
      <c r="AT150" s="43"/>
      <c r="AU150" s="43"/>
      <c r="AV150" s="43"/>
      <c r="AW150" s="43"/>
      <c r="AX150" s="43"/>
      <c r="AY150" s="43"/>
      <c r="AZ150" s="43"/>
      <c r="BA150" s="43"/>
      <c r="BB150" s="43"/>
      <c r="BC150" s="43"/>
      <c r="BD150" s="43"/>
    </row>
    <row r="151" spans="1:56" s="44" customFormat="1" x14ac:dyDescent="0.25">
      <c r="A151" s="158"/>
      <c r="B151" s="47" t="s">
        <v>181</v>
      </c>
      <c r="C151" s="41"/>
      <c r="D151" s="42"/>
      <c r="E151" s="40" t="s">
        <v>229</v>
      </c>
      <c r="F151" s="43">
        <v>210000000</v>
      </c>
      <c r="G151" s="43"/>
      <c r="H151" s="312"/>
      <c r="I151" s="313"/>
      <c r="J151" s="314"/>
      <c r="K151" s="43">
        <f t="shared" si="15"/>
        <v>210000000</v>
      </c>
      <c r="L151" s="76">
        <f t="shared" si="23"/>
        <v>210000000</v>
      </c>
      <c r="M151" s="43"/>
      <c r="N151" s="43"/>
      <c r="O151" s="43"/>
      <c r="P151" s="43"/>
      <c r="Q151" s="43"/>
      <c r="R151" s="43"/>
      <c r="S151" s="162">
        <v>26250000</v>
      </c>
      <c r="T151" s="162"/>
      <c r="U151" s="162"/>
      <c r="V151" s="162">
        <v>26250000</v>
      </c>
      <c r="W151" s="162"/>
      <c r="X151" s="162"/>
      <c r="Y151" s="162">
        <v>26250000</v>
      </c>
      <c r="Z151" s="162"/>
      <c r="AA151" s="162"/>
      <c r="AB151" s="162">
        <v>26250000</v>
      </c>
      <c r="AC151" s="162"/>
      <c r="AD151" s="162"/>
      <c r="AE151" s="162">
        <v>26250000</v>
      </c>
      <c r="AF151" s="162"/>
      <c r="AG151" s="162"/>
      <c r="AH151" s="162">
        <v>26250000</v>
      </c>
      <c r="AI151" s="162"/>
      <c r="AJ151" s="162"/>
      <c r="AK151" s="162">
        <v>26250000</v>
      </c>
      <c r="AL151" s="162"/>
      <c r="AM151" s="162"/>
      <c r="AN151" s="162">
        <v>26250000</v>
      </c>
      <c r="AO151" s="43"/>
      <c r="AP151" s="43"/>
      <c r="AQ151" s="43"/>
      <c r="AR151" s="43"/>
      <c r="AS151" s="43"/>
      <c r="AT151" s="43"/>
      <c r="AU151" s="43"/>
      <c r="AV151" s="43"/>
      <c r="AW151" s="43"/>
      <c r="AX151" s="43"/>
      <c r="AY151" s="43"/>
      <c r="AZ151" s="43"/>
      <c r="BA151" s="43"/>
      <c r="BB151" s="43"/>
      <c r="BC151" s="43"/>
      <c r="BD151" s="43"/>
    </row>
    <row r="152" spans="1:56" s="44" customFormat="1" x14ac:dyDescent="0.25">
      <c r="A152" s="158"/>
      <c r="B152" s="47" t="s">
        <v>181</v>
      </c>
      <c r="C152" s="41"/>
      <c r="D152" s="42"/>
      <c r="E152" s="40" t="s">
        <v>230</v>
      </c>
      <c r="F152" s="43">
        <v>206000000</v>
      </c>
      <c r="G152" s="43"/>
      <c r="H152" s="312"/>
      <c r="I152" s="313"/>
      <c r="J152" s="314"/>
      <c r="K152" s="43">
        <f t="shared" si="15"/>
        <v>206000000</v>
      </c>
      <c r="L152" s="76">
        <f t="shared" si="23"/>
        <v>206000000</v>
      </c>
      <c r="M152" s="43"/>
      <c r="N152" s="43"/>
      <c r="O152" s="43"/>
      <c r="P152" s="43"/>
      <c r="Q152" s="43"/>
      <c r="R152" s="43"/>
      <c r="S152" s="43"/>
      <c r="T152" s="43"/>
      <c r="U152" s="43"/>
      <c r="V152" s="43"/>
      <c r="W152" s="43"/>
      <c r="X152" s="43"/>
      <c r="Y152" s="43"/>
      <c r="Z152" s="43"/>
      <c r="AA152" s="43"/>
      <c r="AB152" s="43"/>
      <c r="AC152" s="43"/>
      <c r="AD152" s="43"/>
      <c r="AE152" s="43"/>
      <c r="AF152" s="43"/>
      <c r="AG152" s="162">
        <v>25000000</v>
      </c>
      <c r="AH152" s="162"/>
      <c r="AI152" s="162">
        <v>25000000</v>
      </c>
      <c r="AJ152" s="162">
        <v>25000000</v>
      </c>
      <c r="AK152" s="162"/>
      <c r="AL152" s="162">
        <v>25000000</v>
      </c>
      <c r="AM152" s="162">
        <v>25000000</v>
      </c>
      <c r="AN152" s="162"/>
      <c r="AO152" s="162">
        <v>25000000</v>
      </c>
      <c r="AP152" s="162"/>
      <c r="AQ152" s="162">
        <v>25000000</v>
      </c>
      <c r="AR152" s="162">
        <v>25000000</v>
      </c>
      <c r="AS152" s="162">
        <v>6000000</v>
      </c>
      <c r="AT152" s="43"/>
      <c r="AU152" s="43"/>
      <c r="AV152" s="43"/>
      <c r="AW152" s="43"/>
      <c r="AX152" s="43"/>
      <c r="AY152" s="43"/>
      <c r="AZ152" s="43"/>
      <c r="BA152" s="43"/>
      <c r="BB152" s="43"/>
      <c r="BC152" s="43"/>
      <c r="BD152" s="43"/>
    </row>
    <row r="153" spans="1:56" s="98" customFormat="1" x14ac:dyDescent="0.25">
      <c r="A153" s="189" t="s">
        <v>264</v>
      </c>
      <c r="B153" s="199"/>
      <c r="C153" s="156"/>
      <c r="D153" s="99"/>
      <c r="E153" s="92" t="s">
        <v>266</v>
      </c>
      <c r="F153" s="96">
        <f>-SUM(F148:F152)*0.5</f>
        <v>-246500000</v>
      </c>
      <c r="G153" s="96"/>
      <c r="H153" s="196"/>
      <c r="I153" s="197"/>
      <c r="J153" s="198"/>
      <c r="K153" s="96">
        <f>-SUM(K148:K152)*0.5</f>
        <v>-246500000</v>
      </c>
      <c r="L153" s="96">
        <f t="shared" ref="L153:BD153" si="25">-SUM(L148:L152)*0.5</f>
        <v>-246500000</v>
      </c>
      <c r="M153" s="96">
        <f t="shared" si="25"/>
        <v>0</v>
      </c>
      <c r="N153" s="96">
        <f t="shared" si="25"/>
        <v>0</v>
      </c>
      <c r="O153" s="96">
        <f t="shared" si="25"/>
        <v>0</v>
      </c>
      <c r="P153" s="96">
        <f t="shared" si="25"/>
        <v>0</v>
      </c>
      <c r="Q153" s="96">
        <f t="shared" si="25"/>
        <v>0</v>
      </c>
      <c r="R153" s="96">
        <f t="shared" si="25"/>
        <v>0</v>
      </c>
      <c r="S153" s="96">
        <f t="shared" si="25"/>
        <v>-13125000</v>
      </c>
      <c r="T153" s="96">
        <f t="shared" si="25"/>
        <v>0</v>
      </c>
      <c r="U153" s="96">
        <f t="shared" si="25"/>
        <v>0</v>
      </c>
      <c r="V153" s="96">
        <f t="shared" si="25"/>
        <v>-13125000</v>
      </c>
      <c r="W153" s="96">
        <f t="shared" si="25"/>
        <v>0</v>
      </c>
      <c r="X153" s="96">
        <f t="shared" si="25"/>
        <v>0</v>
      </c>
      <c r="Y153" s="96">
        <f t="shared" si="25"/>
        <v>-13125000</v>
      </c>
      <c r="Z153" s="96">
        <f t="shared" si="25"/>
        <v>0</v>
      </c>
      <c r="AA153" s="96">
        <f t="shared" si="25"/>
        <v>0</v>
      </c>
      <c r="AB153" s="96">
        <f t="shared" si="25"/>
        <v>-13125000</v>
      </c>
      <c r="AC153" s="96">
        <f t="shared" si="25"/>
        <v>-2500000</v>
      </c>
      <c r="AD153" s="96">
        <f t="shared" si="25"/>
        <v>-2500000</v>
      </c>
      <c r="AE153" s="96">
        <f t="shared" si="25"/>
        <v>-15625000</v>
      </c>
      <c r="AF153" s="96">
        <f t="shared" si="25"/>
        <v>-2500000</v>
      </c>
      <c r="AG153" s="96">
        <f t="shared" si="25"/>
        <v>-15000000</v>
      </c>
      <c r="AH153" s="96">
        <f t="shared" si="25"/>
        <v>-15625000</v>
      </c>
      <c r="AI153" s="96">
        <f t="shared" si="25"/>
        <v>-17500000</v>
      </c>
      <c r="AJ153" s="96">
        <f t="shared" si="25"/>
        <v>-23000000</v>
      </c>
      <c r="AK153" s="96">
        <f t="shared" si="25"/>
        <v>-21125000</v>
      </c>
      <c r="AL153" s="96">
        <f t="shared" si="25"/>
        <v>-12500000</v>
      </c>
      <c r="AM153" s="96">
        <f t="shared" si="25"/>
        <v>-12500000</v>
      </c>
      <c r="AN153" s="96">
        <f t="shared" si="25"/>
        <v>-13125000</v>
      </c>
      <c r="AO153" s="96">
        <f t="shared" si="25"/>
        <v>-12500000</v>
      </c>
      <c r="AP153" s="96">
        <f t="shared" si="25"/>
        <v>0</v>
      </c>
      <c r="AQ153" s="96">
        <f t="shared" si="25"/>
        <v>-12500000</v>
      </c>
      <c r="AR153" s="96">
        <f t="shared" si="25"/>
        <v>-12500000</v>
      </c>
      <c r="AS153" s="96">
        <f t="shared" si="25"/>
        <v>-3000000</v>
      </c>
      <c r="AT153" s="96">
        <f t="shared" si="25"/>
        <v>0</v>
      </c>
      <c r="AU153" s="96">
        <f t="shared" si="25"/>
        <v>0</v>
      </c>
      <c r="AV153" s="96">
        <f t="shared" si="25"/>
        <v>0</v>
      </c>
      <c r="AW153" s="96">
        <f t="shared" si="25"/>
        <v>0</v>
      </c>
      <c r="AX153" s="96">
        <f t="shared" si="25"/>
        <v>0</v>
      </c>
      <c r="AY153" s="96">
        <f t="shared" si="25"/>
        <v>0</v>
      </c>
      <c r="AZ153" s="96">
        <f t="shared" si="25"/>
        <v>0</v>
      </c>
      <c r="BA153" s="96">
        <f t="shared" si="25"/>
        <v>0</v>
      </c>
      <c r="BB153" s="96">
        <f t="shared" si="25"/>
        <v>0</v>
      </c>
      <c r="BC153" s="96">
        <f t="shared" si="25"/>
        <v>0</v>
      </c>
      <c r="BD153" s="96">
        <f t="shared" si="25"/>
        <v>0</v>
      </c>
    </row>
    <row r="154" spans="1:56" s="44" customFormat="1" x14ac:dyDescent="0.25">
      <c r="A154" s="159"/>
      <c r="B154" s="47" t="s">
        <v>100</v>
      </c>
      <c r="C154" s="41"/>
      <c r="D154" s="42"/>
      <c r="E154" s="40" t="s">
        <v>100</v>
      </c>
      <c r="F154" s="43"/>
      <c r="G154" s="43"/>
      <c r="H154" s="312"/>
      <c r="I154" s="313"/>
      <c r="J154" s="314"/>
      <c r="K154" s="43">
        <f t="shared" si="15"/>
        <v>0</v>
      </c>
      <c r="L154" s="76">
        <f t="shared" si="23"/>
        <v>0</v>
      </c>
      <c r="M154" s="43"/>
      <c r="N154" s="43"/>
      <c r="O154" s="43"/>
      <c r="P154" s="43"/>
      <c r="Q154" s="43"/>
      <c r="R154" s="43"/>
      <c r="S154" s="43"/>
      <c r="T154" s="43"/>
      <c r="U154" s="43"/>
      <c r="V154" s="43"/>
      <c r="W154" s="43"/>
      <c r="X154" s="43"/>
      <c r="Y154" s="43"/>
      <c r="Z154" s="43"/>
      <c r="AA154" s="43"/>
      <c r="AB154" s="43"/>
      <c r="AC154" s="43"/>
      <c r="AD154" s="43"/>
      <c r="AE154" s="43"/>
      <c r="AF154" s="43"/>
      <c r="AG154" s="43"/>
      <c r="AH154" s="43"/>
      <c r="AI154" s="43"/>
      <c r="AJ154" s="43"/>
      <c r="AK154" s="43"/>
      <c r="AL154" s="43"/>
      <c r="AM154" s="43"/>
      <c r="AN154" s="43"/>
      <c r="AO154" s="43"/>
      <c r="AP154" s="43"/>
      <c r="AQ154" s="43"/>
      <c r="AR154" s="43"/>
      <c r="AS154" s="43"/>
      <c r="AT154" s="43"/>
      <c r="AU154" s="43"/>
      <c r="AV154" s="43"/>
      <c r="AW154" s="43"/>
      <c r="AX154" s="43"/>
      <c r="AY154" s="43"/>
      <c r="AZ154" s="43"/>
      <c r="BA154" s="43"/>
      <c r="BB154" s="43"/>
      <c r="BC154" s="43"/>
      <c r="BD154" s="43"/>
    </row>
    <row r="155" spans="1:56" s="5" customFormat="1" ht="15.75" customHeight="1" x14ac:dyDescent="0.25">
      <c r="A155" s="8" t="s">
        <v>208</v>
      </c>
      <c r="B155" s="10"/>
      <c r="C155" s="147">
        <v>30000000</v>
      </c>
      <c r="D155" s="9"/>
      <c r="E155" s="36"/>
      <c r="F155" s="11"/>
      <c r="G155" s="48"/>
      <c r="H155" s="285"/>
      <c r="I155" s="286"/>
      <c r="J155" s="287"/>
      <c r="K155" s="18">
        <f t="shared" si="15"/>
        <v>0</v>
      </c>
      <c r="L155" s="121">
        <f t="shared" si="23"/>
        <v>0</v>
      </c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  <c r="AY155" s="11"/>
      <c r="AZ155" s="11"/>
      <c r="BA155" s="11"/>
      <c r="BB155" s="11"/>
      <c r="BC155" s="11"/>
      <c r="BD155" s="11"/>
    </row>
    <row r="156" spans="1:56" s="44" customFormat="1" x14ac:dyDescent="0.25">
      <c r="A156" s="160"/>
      <c r="B156" s="40" t="s">
        <v>181</v>
      </c>
      <c r="C156" s="41"/>
      <c r="D156" s="42"/>
      <c r="E156" s="40" t="s">
        <v>243</v>
      </c>
      <c r="F156" s="43">
        <v>30000000</v>
      </c>
      <c r="G156" s="43"/>
      <c r="H156" s="309"/>
      <c r="I156" s="310"/>
      <c r="J156" s="311"/>
      <c r="K156" s="43">
        <f t="shared" si="15"/>
        <v>30000000</v>
      </c>
      <c r="L156" s="76">
        <f t="shared" si="23"/>
        <v>30000000</v>
      </c>
      <c r="M156" s="43"/>
      <c r="N156" s="43"/>
      <c r="O156" s="43"/>
      <c r="P156" s="43"/>
      <c r="Q156" s="43"/>
      <c r="R156" s="43"/>
      <c r="S156" s="43"/>
      <c r="T156" s="43"/>
      <c r="U156" s="43"/>
      <c r="V156" s="43"/>
      <c r="W156" s="43"/>
      <c r="X156" s="43"/>
      <c r="Y156" s="43"/>
      <c r="Z156" s="43"/>
      <c r="AA156" s="43"/>
      <c r="AB156" s="43"/>
      <c r="AC156" s="43"/>
      <c r="AD156" s="43"/>
      <c r="AE156" s="43"/>
      <c r="AF156" s="43"/>
      <c r="AG156" s="43"/>
      <c r="AH156" s="43"/>
      <c r="AI156" s="43"/>
      <c r="AJ156" s="43"/>
      <c r="AK156" s="43"/>
      <c r="AL156" s="43"/>
      <c r="AM156" s="43"/>
      <c r="AN156" s="43"/>
      <c r="AO156" s="43"/>
      <c r="AP156" s="43"/>
      <c r="AQ156" s="43"/>
      <c r="AR156" s="162">
        <v>7500000</v>
      </c>
      <c r="AS156" s="162">
        <v>7500000</v>
      </c>
      <c r="AT156" s="162">
        <v>7500000</v>
      </c>
      <c r="AU156" s="162">
        <v>7500000</v>
      </c>
      <c r="AV156" s="43"/>
      <c r="AW156" s="43"/>
      <c r="AX156" s="43"/>
      <c r="AY156" s="43"/>
      <c r="AZ156" s="43"/>
      <c r="BA156" s="43"/>
      <c r="BB156" s="43"/>
      <c r="BC156" s="43"/>
      <c r="BD156" s="43"/>
    </row>
    <row r="157" spans="1:56" s="44" customFormat="1" x14ac:dyDescent="0.25">
      <c r="A157" s="159"/>
      <c r="B157" s="40" t="s">
        <v>100</v>
      </c>
      <c r="C157" s="41"/>
      <c r="D157" s="42"/>
      <c r="E157" s="40" t="s">
        <v>100</v>
      </c>
      <c r="F157" s="43"/>
      <c r="G157" s="43"/>
      <c r="H157" s="150"/>
      <c r="I157" s="151"/>
      <c r="J157" s="152"/>
      <c r="K157" s="43">
        <f t="shared" ref="K157:K171" si="26">F157-G157</f>
        <v>0</v>
      </c>
      <c r="L157" s="76">
        <f t="shared" si="23"/>
        <v>0</v>
      </c>
      <c r="M157" s="43"/>
      <c r="N157" s="43"/>
      <c r="O157" s="43"/>
      <c r="P157" s="43"/>
      <c r="Q157" s="43"/>
      <c r="R157" s="43"/>
      <c r="S157" s="43"/>
      <c r="T157" s="43"/>
      <c r="U157" s="43"/>
      <c r="V157" s="43"/>
      <c r="W157" s="43"/>
      <c r="X157" s="43"/>
      <c r="Y157" s="43"/>
      <c r="Z157" s="43"/>
      <c r="AA157" s="43"/>
      <c r="AB157" s="43"/>
      <c r="AC157" s="43"/>
      <c r="AD157" s="43"/>
      <c r="AE157" s="43"/>
      <c r="AF157" s="43"/>
      <c r="AG157" s="43"/>
      <c r="AH157" s="43"/>
      <c r="AI157" s="43"/>
      <c r="AJ157" s="43"/>
      <c r="AK157" s="43"/>
      <c r="AL157" s="43"/>
      <c r="AM157" s="43"/>
      <c r="AN157" s="43"/>
      <c r="AO157" s="43"/>
      <c r="AP157" s="43"/>
      <c r="AQ157" s="43"/>
      <c r="AR157" s="43"/>
      <c r="AS157" s="43"/>
      <c r="AT157" s="43"/>
      <c r="AU157" s="43"/>
      <c r="AV157" s="43"/>
      <c r="AW157" s="43"/>
      <c r="AX157" s="43"/>
      <c r="AY157" s="43"/>
      <c r="AZ157" s="43"/>
      <c r="BA157" s="43"/>
      <c r="BB157" s="43"/>
      <c r="BC157" s="43"/>
      <c r="BD157" s="43"/>
    </row>
    <row r="158" spans="1:56" s="5" customFormat="1" ht="15.75" customHeight="1" x14ac:dyDescent="0.25">
      <c r="A158" s="8" t="s">
        <v>209</v>
      </c>
      <c r="B158" s="10"/>
      <c r="C158" s="147">
        <v>6000000</v>
      </c>
      <c r="D158" s="9"/>
      <c r="E158" s="36"/>
      <c r="F158" s="11"/>
      <c r="G158" s="48"/>
      <c r="H158" s="285"/>
      <c r="I158" s="286"/>
      <c r="J158" s="287"/>
      <c r="K158" s="18">
        <f t="shared" si="26"/>
        <v>0</v>
      </c>
      <c r="L158" s="121">
        <f t="shared" si="23"/>
        <v>0</v>
      </c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  <c r="AY158" s="11"/>
      <c r="AZ158" s="11"/>
      <c r="BA158" s="11"/>
      <c r="BB158" s="11"/>
      <c r="BC158" s="11"/>
      <c r="BD158" s="11"/>
    </row>
    <row r="159" spans="1:56" s="44" customFormat="1" x14ac:dyDescent="0.25">
      <c r="A159" s="158"/>
      <c r="B159" s="40" t="s">
        <v>100</v>
      </c>
      <c r="C159" s="41"/>
      <c r="D159" s="42"/>
      <c r="E159" s="40" t="s">
        <v>244</v>
      </c>
      <c r="F159" s="43">
        <v>6000000</v>
      </c>
      <c r="G159" s="43"/>
      <c r="H159" s="309"/>
      <c r="I159" s="310"/>
      <c r="J159" s="311"/>
      <c r="K159" s="43">
        <f t="shared" si="26"/>
        <v>6000000</v>
      </c>
      <c r="L159" s="76">
        <f t="shared" si="23"/>
        <v>6000000</v>
      </c>
      <c r="M159" s="43"/>
      <c r="N159" s="43"/>
      <c r="O159" s="43"/>
      <c r="P159" s="43"/>
      <c r="Q159" s="43"/>
      <c r="R159" s="43"/>
      <c r="S159" s="43"/>
      <c r="T159" s="43"/>
      <c r="U159" s="43"/>
      <c r="V159" s="43"/>
      <c r="W159" s="43"/>
      <c r="X159" s="43"/>
      <c r="Y159" s="43"/>
      <c r="Z159" s="43"/>
      <c r="AA159" s="43"/>
      <c r="AB159" s="43"/>
      <c r="AC159" s="43"/>
      <c r="AD159" s="43"/>
      <c r="AE159" s="43"/>
      <c r="AF159" s="43"/>
      <c r="AG159" s="43"/>
      <c r="AH159" s="43"/>
      <c r="AI159" s="43"/>
      <c r="AJ159" s="43"/>
      <c r="AK159" s="43"/>
      <c r="AL159" s="43"/>
      <c r="AM159" s="43"/>
      <c r="AN159" s="43"/>
      <c r="AO159" s="43"/>
      <c r="AP159" s="43"/>
      <c r="AQ159" s="43"/>
      <c r="AR159" s="43"/>
      <c r="AS159" s="162">
        <v>2000000</v>
      </c>
      <c r="AT159" s="162">
        <v>2000000</v>
      </c>
      <c r="AU159" s="162">
        <v>2000000</v>
      </c>
      <c r="AV159" s="43"/>
      <c r="AW159" s="43"/>
      <c r="AX159" s="43"/>
      <c r="AY159" s="43"/>
      <c r="AZ159" s="43"/>
      <c r="BA159" s="43"/>
      <c r="BB159" s="43"/>
      <c r="BC159" s="43"/>
      <c r="BD159" s="43"/>
    </row>
    <row r="160" spans="1:56" s="44" customFormat="1" x14ac:dyDescent="0.25">
      <c r="A160" s="159"/>
      <c r="B160" s="40" t="s">
        <v>100</v>
      </c>
      <c r="C160" s="41"/>
      <c r="D160" s="42"/>
      <c r="E160" s="40"/>
      <c r="F160" s="43"/>
      <c r="G160" s="43"/>
      <c r="H160" s="309"/>
      <c r="I160" s="310"/>
      <c r="J160" s="311"/>
      <c r="K160" s="43">
        <f t="shared" si="26"/>
        <v>0</v>
      </c>
      <c r="L160" s="76">
        <f t="shared" ref="L160:L171" si="27">SUM(M160:BD160)</f>
        <v>0</v>
      </c>
      <c r="M160" s="43"/>
      <c r="N160" s="43"/>
      <c r="O160" s="43"/>
      <c r="P160" s="43"/>
      <c r="Q160" s="43"/>
      <c r="R160" s="43"/>
      <c r="S160" s="43"/>
      <c r="T160" s="43"/>
      <c r="U160" s="43"/>
      <c r="V160" s="43"/>
      <c r="W160" s="43"/>
      <c r="X160" s="43"/>
      <c r="Y160" s="43"/>
      <c r="Z160" s="43"/>
      <c r="AA160" s="43"/>
      <c r="AB160" s="43"/>
      <c r="AC160" s="43"/>
      <c r="AD160" s="43"/>
      <c r="AE160" s="43"/>
      <c r="AF160" s="43"/>
      <c r="AG160" s="43"/>
      <c r="AH160" s="43"/>
      <c r="AI160" s="43"/>
      <c r="AJ160" s="43"/>
      <c r="AK160" s="43"/>
      <c r="AL160" s="43"/>
      <c r="AM160" s="43"/>
      <c r="AN160" s="43"/>
      <c r="AO160" s="43"/>
      <c r="AP160" s="43"/>
      <c r="AQ160" s="43"/>
      <c r="AR160" s="43"/>
      <c r="AS160" s="43"/>
      <c r="AT160" s="43"/>
      <c r="AU160" s="43"/>
      <c r="AV160" s="43"/>
      <c r="AW160" s="43"/>
      <c r="AX160" s="43"/>
      <c r="AY160" s="43"/>
      <c r="AZ160" s="43"/>
      <c r="BA160" s="43"/>
      <c r="BB160" s="43"/>
      <c r="BC160" s="43"/>
      <c r="BD160" s="43"/>
    </row>
    <row r="161" spans="1:56" s="1" customFormat="1" ht="15" customHeight="1" x14ac:dyDescent="0.25">
      <c r="A161" s="138" t="s">
        <v>210</v>
      </c>
      <c r="B161" s="13"/>
      <c r="C161" s="203">
        <v>81000000</v>
      </c>
      <c r="D161" s="206">
        <f>G161+L161</f>
        <v>81000000</v>
      </c>
      <c r="E161" s="194">
        <f>C161-D161</f>
        <v>0</v>
      </c>
      <c r="F161" s="20">
        <f>SUM(F162:F165)</f>
        <v>81000000</v>
      </c>
      <c r="G161" s="20">
        <f>SUM(G162:G165)</f>
        <v>10500000</v>
      </c>
      <c r="H161" s="306"/>
      <c r="I161" s="307"/>
      <c r="J161" s="308"/>
      <c r="K161" s="20">
        <f t="shared" si="26"/>
        <v>70500000</v>
      </c>
      <c r="L161" s="75">
        <f t="shared" si="27"/>
        <v>70500000</v>
      </c>
      <c r="M161" s="20">
        <f t="shared" ref="M161:BD161" si="28">SUM(M162:M165)</f>
        <v>4133333.333333333</v>
      </c>
      <c r="N161" s="20">
        <f t="shared" si="28"/>
        <v>2066666.6666666665</v>
      </c>
      <c r="O161" s="20">
        <f t="shared" si="28"/>
        <v>1950000</v>
      </c>
      <c r="P161" s="20">
        <f t="shared" si="28"/>
        <v>1950000</v>
      </c>
      <c r="Q161" s="20">
        <f t="shared" si="28"/>
        <v>1950000</v>
      </c>
      <c r="R161" s="20">
        <f t="shared" si="28"/>
        <v>1950000</v>
      </c>
      <c r="S161" s="20">
        <f t="shared" si="28"/>
        <v>1950000</v>
      </c>
      <c r="T161" s="20">
        <f t="shared" si="28"/>
        <v>1950000</v>
      </c>
      <c r="U161" s="20">
        <f t="shared" si="28"/>
        <v>1950000</v>
      </c>
      <c r="V161" s="20">
        <f t="shared" si="28"/>
        <v>1950000</v>
      </c>
      <c r="W161" s="20">
        <f t="shared" si="28"/>
        <v>1950000</v>
      </c>
      <c r="X161" s="20">
        <f t="shared" si="28"/>
        <v>1950000</v>
      </c>
      <c r="Y161" s="20">
        <f t="shared" si="28"/>
        <v>1950000</v>
      </c>
      <c r="Z161" s="20">
        <f t="shared" si="28"/>
        <v>1950000</v>
      </c>
      <c r="AA161" s="20">
        <f t="shared" si="28"/>
        <v>1950000</v>
      </c>
      <c r="AB161" s="20">
        <f t="shared" si="28"/>
        <v>1950000</v>
      </c>
      <c r="AC161" s="20">
        <f t="shared" si="28"/>
        <v>1950000</v>
      </c>
      <c r="AD161" s="20">
        <f t="shared" si="28"/>
        <v>1950000</v>
      </c>
      <c r="AE161" s="20">
        <f t="shared" si="28"/>
        <v>1950000</v>
      </c>
      <c r="AF161" s="20">
        <f t="shared" si="28"/>
        <v>1950000</v>
      </c>
      <c r="AG161" s="20">
        <f t="shared" si="28"/>
        <v>1950000</v>
      </c>
      <c r="AH161" s="20">
        <f t="shared" si="28"/>
        <v>1950000</v>
      </c>
      <c r="AI161" s="20">
        <f t="shared" si="28"/>
        <v>1950000</v>
      </c>
      <c r="AJ161" s="20">
        <f t="shared" si="28"/>
        <v>1950000</v>
      </c>
      <c r="AK161" s="20">
        <f t="shared" si="28"/>
        <v>1950000</v>
      </c>
      <c r="AL161" s="20">
        <f t="shared" si="28"/>
        <v>1950000</v>
      </c>
      <c r="AM161" s="20">
        <f t="shared" si="28"/>
        <v>1950000</v>
      </c>
      <c r="AN161" s="20">
        <f t="shared" si="28"/>
        <v>1950000</v>
      </c>
      <c r="AO161" s="20">
        <f t="shared" si="28"/>
        <v>1950000</v>
      </c>
      <c r="AP161" s="20">
        <f t="shared" si="28"/>
        <v>1950000</v>
      </c>
      <c r="AQ161" s="20">
        <f t="shared" si="28"/>
        <v>1950000</v>
      </c>
      <c r="AR161" s="20">
        <f t="shared" si="28"/>
        <v>1950000</v>
      </c>
      <c r="AS161" s="20">
        <f t="shared" si="28"/>
        <v>1950000</v>
      </c>
      <c r="AT161" s="20">
        <f t="shared" si="28"/>
        <v>1950000</v>
      </c>
      <c r="AU161" s="20">
        <f t="shared" si="28"/>
        <v>1900000</v>
      </c>
      <c r="AV161" s="20">
        <f t="shared" si="28"/>
        <v>0</v>
      </c>
      <c r="AW161" s="20">
        <f t="shared" si="28"/>
        <v>0</v>
      </c>
      <c r="AX161" s="20">
        <f t="shared" si="28"/>
        <v>0</v>
      </c>
      <c r="AY161" s="20">
        <f t="shared" si="28"/>
        <v>0</v>
      </c>
      <c r="AZ161" s="20">
        <f t="shared" si="28"/>
        <v>0</v>
      </c>
      <c r="BA161" s="20">
        <f t="shared" si="28"/>
        <v>0</v>
      </c>
      <c r="BB161" s="20">
        <f t="shared" si="28"/>
        <v>0</v>
      </c>
      <c r="BC161" s="20">
        <f t="shared" si="28"/>
        <v>0</v>
      </c>
      <c r="BD161" s="20">
        <f t="shared" si="28"/>
        <v>0</v>
      </c>
    </row>
    <row r="162" spans="1:56" ht="15" customHeight="1" x14ac:dyDescent="0.25">
      <c r="A162" s="101"/>
      <c r="B162" s="100" t="s">
        <v>217</v>
      </c>
      <c r="C162" s="34"/>
      <c r="D162" s="29"/>
      <c r="E162" s="6"/>
      <c r="F162" s="7">
        <v>5000000</v>
      </c>
      <c r="G162" s="7">
        <v>0</v>
      </c>
      <c r="H162" s="297"/>
      <c r="I162" s="298"/>
      <c r="J162" s="299"/>
      <c r="K162" s="18">
        <f t="shared" si="26"/>
        <v>5000000</v>
      </c>
      <c r="L162" s="115">
        <f>SUM(M162:BD162)</f>
        <v>4900000</v>
      </c>
      <c r="M162" s="7"/>
      <c r="N162" s="7"/>
      <c r="O162" s="7">
        <f>450000/3</f>
        <v>150000</v>
      </c>
      <c r="P162" s="7">
        <f t="shared" ref="P162:AT162" si="29">450000/3</f>
        <v>150000</v>
      </c>
      <c r="Q162" s="7">
        <f t="shared" si="29"/>
        <v>150000</v>
      </c>
      <c r="R162" s="7">
        <f t="shared" si="29"/>
        <v>150000</v>
      </c>
      <c r="S162" s="7">
        <f t="shared" si="29"/>
        <v>150000</v>
      </c>
      <c r="T162" s="7">
        <f t="shared" si="29"/>
        <v>150000</v>
      </c>
      <c r="U162" s="7">
        <f t="shared" si="29"/>
        <v>150000</v>
      </c>
      <c r="V162" s="7">
        <f t="shared" si="29"/>
        <v>150000</v>
      </c>
      <c r="W162" s="7">
        <f t="shared" si="29"/>
        <v>150000</v>
      </c>
      <c r="X162" s="7">
        <f t="shared" si="29"/>
        <v>150000</v>
      </c>
      <c r="Y162" s="7">
        <f t="shared" si="29"/>
        <v>150000</v>
      </c>
      <c r="Z162" s="7">
        <f t="shared" si="29"/>
        <v>150000</v>
      </c>
      <c r="AA162" s="7">
        <f t="shared" si="29"/>
        <v>150000</v>
      </c>
      <c r="AB162" s="7">
        <f t="shared" si="29"/>
        <v>150000</v>
      </c>
      <c r="AC162" s="7">
        <f t="shared" si="29"/>
        <v>150000</v>
      </c>
      <c r="AD162" s="7">
        <f t="shared" si="29"/>
        <v>150000</v>
      </c>
      <c r="AE162" s="7">
        <f t="shared" si="29"/>
        <v>150000</v>
      </c>
      <c r="AF162" s="7">
        <f t="shared" si="29"/>
        <v>150000</v>
      </c>
      <c r="AG162" s="7">
        <f t="shared" si="29"/>
        <v>150000</v>
      </c>
      <c r="AH162" s="7">
        <f t="shared" si="29"/>
        <v>150000</v>
      </c>
      <c r="AI162" s="7">
        <f t="shared" si="29"/>
        <v>150000</v>
      </c>
      <c r="AJ162" s="7">
        <f t="shared" si="29"/>
        <v>150000</v>
      </c>
      <c r="AK162" s="7">
        <f t="shared" si="29"/>
        <v>150000</v>
      </c>
      <c r="AL162" s="7">
        <f t="shared" si="29"/>
        <v>150000</v>
      </c>
      <c r="AM162" s="7">
        <f t="shared" si="29"/>
        <v>150000</v>
      </c>
      <c r="AN162" s="7">
        <f t="shared" si="29"/>
        <v>150000</v>
      </c>
      <c r="AO162" s="7">
        <f t="shared" si="29"/>
        <v>150000</v>
      </c>
      <c r="AP162" s="7">
        <f t="shared" si="29"/>
        <v>150000</v>
      </c>
      <c r="AQ162" s="7">
        <f t="shared" si="29"/>
        <v>150000</v>
      </c>
      <c r="AR162" s="7">
        <f t="shared" si="29"/>
        <v>150000</v>
      </c>
      <c r="AS162" s="7">
        <f t="shared" si="29"/>
        <v>150000</v>
      </c>
      <c r="AT162" s="7">
        <f t="shared" si="29"/>
        <v>150000</v>
      </c>
      <c r="AU162" s="7">
        <v>100000</v>
      </c>
      <c r="AV162" s="7"/>
      <c r="AW162" s="7"/>
      <c r="AX162" s="7"/>
      <c r="AY162" s="7"/>
      <c r="AZ162" s="7"/>
      <c r="BA162" s="7"/>
      <c r="BB162" s="7"/>
      <c r="BC162" s="7"/>
      <c r="BD162" s="7"/>
    </row>
    <row r="163" spans="1:56" ht="15" customHeight="1" x14ac:dyDescent="0.25">
      <c r="A163" s="102"/>
      <c r="B163" s="100" t="s">
        <v>215</v>
      </c>
      <c r="C163" s="34"/>
      <c r="D163" s="29"/>
      <c r="E163" s="6"/>
      <c r="F163" s="7">
        <v>60000000</v>
      </c>
      <c r="G163" s="7">
        <f>1700000+4400000</f>
        <v>6100000</v>
      </c>
      <c r="H163" s="297"/>
      <c r="I163" s="298"/>
      <c r="J163" s="299"/>
      <c r="K163" s="18">
        <f t="shared" si="26"/>
        <v>53900000</v>
      </c>
      <c r="L163" s="115">
        <f>SUM(M163:BD163)</f>
        <v>54000000</v>
      </c>
      <c r="M163" s="7">
        <f>1500000+1500000</f>
        <v>3000000</v>
      </c>
      <c r="N163" s="7">
        <v>1500000</v>
      </c>
      <c r="O163" s="7">
        <v>1500000</v>
      </c>
      <c r="P163" s="7">
        <v>1500000</v>
      </c>
      <c r="Q163" s="7">
        <v>1500000</v>
      </c>
      <c r="R163" s="7">
        <v>1500000</v>
      </c>
      <c r="S163" s="7">
        <v>1500000</v>
      </c>
      <c r="T163" s="7">
        <v>1500000</v>
      </c>
      <c r="U163" s="7">
        <v>1500000</v>
      </c>
      <c r="V163" s="7">
        <v>1500000</v>
      </c>
      <c r="W163" s="7">
        <v>1500000</v>
      </c>
      <c r="X163" s="7">
        <v>1500000</v>
      </c>
      <c r="Y163" s="7">
        <v>1500000</v>
      </c>
      <c r="Z163" s="7">
        <v>1500000</v>
      </c>
      <c r="AA163" s="7">
        <v>1500000</v>
      </c>
      <c r="AB163" s="7">
        <v>1500000</v>
      </c>
      <c r="AC163" s="7">
        <v>1500000</v>
      </c>
      <c r="AD163" s="7">
        <v>1500000</v>
      </c>
      <c r="AE163" s="7">
        <v>1500000</v>
      </c>
      <c r="AF163" s="7">
        <v>1500000</v>
      </c>
      <c r="AG163" s="7">
        <v>1500000</v>
      </c>
      <c r="AH163" s="7">
        <v>1500000</v>
      </c>
      <c r="AI163" s="7">
        <v>1500000</v>
      </c>
      <c r="AJ163" s="7">
        <v>1500000</v>
      </c>
      <c r="AK163" s="7">
        <v>1500000</v>
      </c>
      <c r="AL163" s="7">
        <v>1500000</v>
      </c>
      <c r="AM163" s="7">
        <v>1500000</v>
      </c>
      <c r="AN163" s="7">
        <v>1500000</v>
      </c>
      <c r="AO163" s="7">
        <v>1500000</v>
      </c>
      <c r="AP163" s="7">
        <v>1500000</v>
      </c>
      <c r="AQ163" s="7">
        <v>1500000</v>
      </c>
      <c r="AR163" s="7">
        <v>1500000</v>
      </c>
      <c r="AS163" s="7">
        <v>1500000</v>
      </c>
      <c r="AT163" s="7">
        <v>1500000</v>
      </c>
      <c r="AU163" s="7">
        <v>1500000</v>
      </c>
      <c r="AV163" s="7"/>
      <c r="AW163" s="7"/>
      <c r="AX163" s="7"/>
      <c r="AY163" s="7"/>
      <c r="AZ163" s="7"/>
      <c r="BA163" s="7"/>
      <c r="BB163" s="7"/>
      <c r="BC163" s="7"/>
      <c r="BD163" s="7"/>
    </row>
    <row r="164" spans="1:56" ht="15" customHeight="1" x14ac:dyDescent="0.25">
      <c r="A164" s="102"/>
      <c r="B164" s="100" t="s">
        <v>216</v>
      </c>
      <c r="C164" s="34"/>
      <c r="D164" s="29"/>
      <c r="E164" s="6"/>
      <c r="F164" s="7">
        <v>16000000</v>
      </c>
      <c r="G164" s="7">
        <f>1500000+1700000+1200000</f>
        <v>4400000</v>
      </c>
      <c r="H164" s="297"/>
      <c r="I164" s="298"/>
      <c r="J164" s="299"/>
      <c r="K164" s="18">
        <f t="shared" si="26"/>
        <v>11600000</v>
      </c>
      <c r="L164" s="115">
        <f t="shared" si="27"/>
        <v>11600000</v>
      </c>
      <c r="M164" s="7">
        <f>1700000/3*2</f>
        <v>1133333.3333333333</v>
      </c>
      <c r="N164" s="7">
        <f>1700000/3</f>
        <v>566666.66666666663</v>
      </c>
      <c r="O164" s="7">
        <f>900000/3</f>
        <v>300000</v>
      </c>
      <c r="P164" s="7">
        <f t="shared" ref="P164:AU164" si="30">900000/3</f>
        <v>300000</v>
      </c>
      <c r="Q164" s="7">
        <f t="shared" si="30"/>
        <v>300000</v>
      </c>
      <c r="R164" s="7">
        <f t="shared" si="30"/>
        <v>300000</v>
      </c>
      <c r="S164" s="7">
        <f t="shared" si="30"/>
        <v>300000</v>
      </c>
      <c r="T164" s="7">
        <f t="shared" si="30"/>
        <v>300000</v>
      </c>
      <c r="U164" s="7">
        <f t="shared" si="30"/>
        <v>300000</v>
      </c>
      <c r="V164" s="7">
        <f t="shared" si="30"/>
        <v>300000</v>
      </c>
      <c r="W164" s="7">
        <f t="shared" si="30"/>
        <v>300000</v>
      </c>
      <c r="X164" s="7">
        <f t="shared" si="30"/>
        <v>300000</v>
      </c>
      <c r="Y164" s="7">
        <f t="shared" si="30"/>
        <v>300000</v>
      </c>
      <c r="Z164" s="7">
        <f t="shared" si="30"/>
        <v>300000</v>
      </c>
      <c r="AA164" s="7">
        <f t="shared" si="30"/>
        <v>300000</v>
      </c>
      <c r="AB164" s="7">
        <f t="shared" si="30"/>
        <v>300000</v>
      </c>
      <c r="AC164" s="7">
        <f t="shared" si="30"/>
        <v>300000</v>
      </c>
      <c r="AD164" s="7">
        <f t="shared" si="30"/>
        <v>300000</v>
      </c>
      <c r="AE164" s="7">
        <f t="shared" si="30"/>
        <v>300000</v>
      </c>
      <c r="AF164" s="7">
        <f t="shared" si="30"/>
        <v>300000</v>
      </c>
      <c r="AG164" s="7">
        <f t="shared" si="30"/>
        <v>300000</v>
      </c>
      <c r="AH164" s="7">
        <f t="shared" si="30"/>
        <v>300000</v>
      </c>
      <c r="AI164" s="7">
        <f t="shared" si="30"/>
        <v>300000</v>
      </c>
      <c r="AJ164" s="7">
        <f t="shared" si="30"/>
        <v>300000</v>
      </c>
      <c r="AK164" s="7">
        <f t="shared" si="30"/>
        <v>300000</v>
      </c>
      <c r="AL164" s="7">
        <f t="shared" si="30"/>
        <v>300000</v>
      </c>
      <c r="AM164" s="7">
        <f t="shared" si="30"/>
        <v>300000</v>
      </c>
      <c r="AN164" s="7">
        <f t="shared" si="30"/>
        <v>300000</v>
      </c>
      <c r="AO164" s="7">
        <f t="shared" si="30"/>
        <v>300000</v>
      </c>
      <c r="AP164" s="7">
        <f t="shared" si="30"/>
        <v>300000</v>
      </c>
      <c r="AQ164" s="7">
        <f t="shared" si="30"/>
        <v>300000</v>
      </c>
      <c r="AR164" s="7">
        <f t="shared" si="30"/>
        <v>300000</v>
      </c>
      <c r="AS164" s="7">
        <f t="shared" si="30"/>
        <v>300000</v>
      </c>
      <c r="AT164" s="7">
        <f t="shared" si="30"/>
        <v>300000</v>
      </c>
      <c r="AU164" s="7">
        <f t="shared" si="30"/>
        <v>300000</v>
      </c>
      <c r="AV164" s="7"/>
      <c r="AW164" s="7"/>
      <c r="AX164" s="7"/>
      <c r="AY164" s="7"/>
      <c r="AZ164" s="7"/>
      <c r="BA164" s="7"/>
      <c r="BB164" s="7"/>
      <c r="BC164" s="7"/>
      <c r="BD164" s="7"/>
    </row>
    <row r="165" spans="1:56" s="146" customFormat="1" ht="15" customHeight="1" x14ac:dyDescent="0.25">
      <c r="A165" s="140"/>
      <c r="B165" s="141" t="s">
        <v>100</v>
      </c>
      <c r="C165" s="142"/>
      <c r="D165" s="143"/>
      <c r="E165" s="144"/>
      <c r="F165" s="145"/>
      <c r="G165" s="145"/>
      <c r="H165" s="297"/>
      <c r="I165" s="298"/>
      <c r="J165" s="299"/>
      <c r="K165" s="43">
        <f t="shared" si="26"/>
        <v>0</v>
      </c>
      <c r="L165" s="76">
        <f t="shared" si="27"/>
        <v>0</v>
      </c>
      <c r="M165" s="145"/>
      <c r="N165" s="145"/>
      <c r="O165" s="145"/>
      <c r="P165" s="145"/>
      <c r="Q165" s="145"/>
      <c r="R165" s="145"/>
      <c r="S165" s="145"/>
      <c r="T165" s="145"/>
      <c r="U165" s="145"/>
      <c r="V165" s="145"/>
      <c r="W165" s="145"/>
      <c r="X165" s="145"/>
      <c r="Y165" s="145"/>
      <c r="Z165" s="145"/>
      <c r="AA165" s="145"/>
      <c r="AB165" s="145"/>
      <c r="AC165" s="145"/>
      <c r="AD165" s="145"/>
      <c r="AE165" s="145"/>
      <c r="AF165" s="145"/>
      <c r="AG165" s="145"/>
      <c r="AH165" s="145"/>
      <c r="AI165" s="145"/>
      <c r="AJ165" s="145"/>
      <c r="AK165" s="145"/>
      <c r="AL165" s="145"/>
      <c r="AM165" s="145"/>
      <c r="AN165" s="145"/>
      <c r="AO165" s="145"/>
      <c r="AP165" s="145"/>
      <c r="AQ165" s="145"/>
      <c r="AR165" s="145"/>
      <c r="AS165" s="145"/>
      <c r="AT165" s="145"/>
      <c r="AU165" s="145"/>
      <c r="AV165" s="145"/>
      <c r="AW165" s="145"/>
      <c r="AX165" s="145"/>
      <c r="AY165" s="145"/>
      <c r="AZ165" s="145"/>
      <c r="BA165" s="145"/>
      <c r="BB165" s="145"/>
      <c r="BC165" s="145"/>
      <c r="BD165" s="145"/>
    </row>
    <row r="166" spans="1:56" s="1" customFormat="1" ht="15" customHeight="1" x14ac:dyDescent="0.25">
      <c r="A166" s="139" t="s">
        <v>211</v>
      </c>
      <c r="B166" s="13"/>
      <c r="C166" s="203">
        <v>164625000</v>
      </c>
      <c r="D166" s="206">
        <f>G166+L166</f>
        <v>164624999.99999997</v>
      </c>
      <c r="E166" s="194">
        <f>C166-D166</f>
        <v>0</v>
      </c>
      <c r="F166" s="20">
        <f t="shared" ref="F166:BC166" si="31">SUM(F167:F169)</f>
        <v>164625000</v>
      </c>
      <c r="G166" s="20">
        <f t="shared" si="31"/>
        <v>0</v>
      </c>
      <c r="H166" s="306"/>
      <c r="I166" s="307"/>
      <c r="J166" s="308"/>
      <c r="K166" s="20">
        <f t="shared" si="26"/>
        <v>164625000</v>
      </c>
      <c r="L166" s="75">
        <f t="shared" si="27"/>
        <v>164624999.99999997</v>
      </c>
      <c r="M166" s="20">
        <f t="shared" si="31"/>
        <v>250000</v>
      </c>
      <c r="N166" s="20">
        <f t="shared" si="31"/>
        <v>125000</v>
      </c>
      <c r="O166" s="20">
        <f t="shared" si="31"/>
        <v>125000</v>
      </c>
      <c r="P166" s="20">
        <f t="shared" si="31"/>
        <v>125000</v>
      </c>
      <c r="Q166" s="20">
        <f t="shared" si="31"/>
        <v>125000</v>
      </c>
      <c r="R166" s="20">
        <f t="shared" si="31"/>
        <v>125000</v>
      </c>
      <c r="S166" s="20">
        <f t="shared" si="31"/>
        <v>125000</v>
      </c>
      <c r="T166" s="20">
        <f t="shared" si="31"/>
        <v>125000</v>
      </c>
      <c r="U166" s="20">
        <f t="shared" si="31"/>
        <v>891666.66666666663</v>
      </c>
      <c r="V166" s="20">
        <f t="shared" si="31"/>
        <v>891666.66666666663</v>
      </c>
      <c r="W166" s="20">
        <f t="shared" si="31"/>
        <v>891666.66666666663</v>
      </c>
      <c r="X166" s="20">
        <f t="shared" si="31"/>
        <v>1425000</v>
      </c>
      <c r="Y166" s="20">
        <f t="shared" si="31"/>
        <v>1425000</v>
      </c>
      <c r="Z166" s="20">
        <f t="shared" si="31"/>
        <v>1425000</v>
      </c>
      <c r="AA166" s="20">
        <f t="shared" si="31"/>
        <v>1858333.3333333333</v>
      </c>
      <c r="AB166" s="20">
        <f t="shared" si="31"/>
        <v>1858333.3333333333</v>
      </c>
      <c r="AC166" s="20">
        <f t="shared" si="31"/>
        <v>1858333.3333333333</v>
      </c>
      <c r="AD166" s="20">
        <f t="shared" si="31"/>
        <v>2658333.3333333335</v>
      </c>
      <c r="AE166" s="20">
        <f t="shared" si="31"/>
        <v>2658333.3333333335</v>
      </c>
      <c r="AF166" s="20">
        <f t="shared" si="31"/>
        <v>2658333.3333333335</v>
      </c>
      <c r="AG166" s="20">
        <f t="shared" si="31"/>
        <v>3191666.6666666665</v>
      </c>
      <c r="AH166" s="20">
        <f t="shared" si="31"/>
        <v>3191666.6666666665</v>
      </c>
      <c r="AI166" s="20">
        <f t="shared" si="31"/>
        <v>3191666.6666666665</v>
      </c>
      <c r="AJ166" s="20">
        <f t="shared" si="31"/>
        <v>5291666.666666667</v>
      </c>
      <c r="AK166" s="20">
        <f t="shared" si="31"/>
        <v>5291666.666666667</v>
      </c>
      <c r="AL166" s="20">
        <f t="shared" si="31"/>
        <v>5291666.666666667</v>
      </c>
      <c r="AM166" s="20">
        <f t="shared" si="31"/>
        <v>6058333.333333333</v>
      </c>
      <c r="AN166" s="20">
        <f t="shared" si="31"/>
        <v>6058333.333333333</v>
      </c>
      <c r="AO166" s="20">
        <f t="shared" si="31"/>
        <v>6058333.333333333</v>
      </c>
      <c r="AP166" s="20">
        <f t="shared" si="31"/>
        <v>6225000</v>
      </c>
      <c r="AQ166" s="20">
        <f t="shared" si="31"/>
        <v>6225000</v>
      </c>
      <c r="AR166" s="20">
        <f t="shared" si="31"/>
        <v>6225000</v>
      </c>
      <c r="AS166" s="20">
        <f t="shared" si="31"/>
        <v>7258333.333333333</v>
      </c>
      <c r="AT166" s="20">
        <f t="shared" si="31"/>
        <v>7258333.333333333</v>
      </c>
      <c r="AU166" s="20">
        <f t="shared" si="31"/>
        <v>7258333.333333333</v>
      </c>
      <c r="AV166" s="20">
        <f t="shared" si="31"/>
        <v>6825000</v>
      </c>
      <c r="AW166" s="20">
        <f t="shared" si="31"/>
        <v>6825000</v>
      </c>
      <c r="AX166" s="20">
        <f t="shared" si="31"/>
        <v>6825000</v>
      </c>
      <c r="AY166" s="20">
        <f t="shared" si="31"/>
        <v>6391666.666666667</v>
      </c>
      <c r="AZ166" s="20">
        <f t="shared" si="31"/>
        <v>6391666.666666667</v>
      </c>
      <c r="BA166" s="20">
        <f t="shared" si="31"/>
        <v>6391666.666666667</v>
      </c>
      <c r="BB166" s="20">
        <f t="shared" si="31"/>
        <v>6425000</v>
      </c>
      <c r="BC166" s="20">
        <f t="shared" si="31"/>
        <v>6425000</v>
      </c>
      <c r="BD166" s="20">
        <f>SUM(BD167:BD169)</f>
        <v>6425000</v>
      </c>
    </row>
    <row r="167" spans="1:56" ht="15" customHeight="1" x14ac:dyDescent="0.25">
      <c r="A167" s="101"/>
      <c r="B167" s="100" t="s">
        <v>213</v>
      </c>
      <c r="C167" s="34"/>
      <c r="D167" s="29"/>
      <c r="E167" s="6"/>
      <c r="F167" s="7">
        <v>159000000</v>
      </c>
      <c r="G167" s="7">
        <v>0</v>
      </c>
      <c r="H167" s="297"/>
      <c r="I167" s="298"/>
      <c r="J167" s="299"/>
      <c r="K167" s="18">
        <f t="shared" si="26"/>
        <v>159000000</v>
      </c>
      <c r="L167" s="115">
        <f t="shared" si="27"/>
        <v>159000000</v>
      </c>
      <c r="M167" s="7"/>
      <c r="N167" s="7"/>
      <c r="O167" s="7"/>
      <c r="P167" s="7"/>
      <c r="Q167" s="7"/>
      <c r="R167" s="7"/>
      <c r="S167" s="7"/>
      <c r="T167" s="7"/>
      <c r="U167" s="7">
        <f>2300000/3</f>
        <v>766666.66666666663</v>
      </c>
      <c r="V167" s="7">
        <f>2300000/3</f>
        <v>766666.66666666663</v>
      </c>
      <c r="W167" s="7">
        <f>2300000/3</f>
        <v>766666.66666666663</v>
      </c>
      <c r="X167" s="7">
        <f>3900000/3</f>
        <v>1300000</v>
      </c>
      <c r="Y167" s="7">
        <f>3900000/3</f>
        <v>1300000</v>
      </c>
      <c r="Z167" s="7">
        <f>3900000/3</f>
        <v>1300000</v>
      </c>
      <c r="AA167" s="7">
        <f>5200000/3</f>
        <v>1733333.3333333333</v>
      </c>
      <c r="AB167" s="7">
        <f>5200000/3</f>
        <v>1733333.3333333333</v>
      </c>
      <c r="AC167" s="7">
        <f>5200000/3</f>
        <v>1733333.3333333333</v>
      </c>
      <c r="AD167" s="7">
        <f>7600000/3</f>
        <v>2533333.3333333335</v>
      </c>
      <c r="AE167" s="7">
        <f>7600000/3</f>
        <v>2533333.3333333335</v>
      </c>
      <c r="AF167" s="7">
        <f>7600000/3</f>
        <v>2533333.3333333335</v>
      </c>
      <c r="AG167" s="7">
        <f>9200000/3</f>
        <v>3066666.6666666665</v>
      </c>
      <c r="AH167" s="7">
        <f>9200000/3</f>
        <v>3066666.6666666665</v>
      </c>
      <c r="AI167" s="7">
        <f>9200000/3</f>
        <v>3066666.6666666665</v>
      </c>
      <c r="AJ167" s="7">
        <f>15500000/3</f>
        <v>5166666.666666667</v>
      </c>
      <c r="AK167" s="7">
        <f>15500000/3</f>
        <v>5166666.666666667</v>
      </c>
      <c r="AL167" s="7">
        <f>15500000/3</f>
        <v>5166666.666666667</v>
      </c>
      <c r="AM167" s="7">
        <f>17800000/3</f>
        <v>5933333.333333333</v>
      </c>
      <c r="AN167" s="7">
        <f>17800000/3</f>
        <v>5933333.333333333</v>
      </c>
      <c r="AO167" s="7">
        <f>17800000/3</f>
        <v>5933333.333333333</v>
      </c>
      <c r="AP167" s="7">
        <f>18300000/3</f>
        <v>6100000</v>
      </c>
      <c r="AQ167" s="7">
        <f>18300000/3</f>
        <v>6100000</v>
      </c>
      <c r="AR167" s="7">
        <f>18300000/3</f>
        <v>6100000</v>
      </c>
      <c r="AS167" s="7">
        <f>21400000/3</f>
        <v>7133333.333333333</v>
      </c>
      <c r="AT167" s="7">
        <f>21400000/3</f>
        <v>7133333.333333333</v>
      </c>
      <c r="AU167" s="7">
        <f>21400000/3</f>
        <v>7133333.333333333</v>
      </c>
      <c r="AV167" s="7">
        <f>20100000/3</f>
        <v>6700000</v>
      </c>
      <c r="AW167" s="7">
        <f>20100000/3</f>
        <v>6700000</v>
      </c>
      <c r="AX167" s="7">
        <f>20100000/3</f>
        <v>6700000</v>
      </c>
      <c r="AY167" s="7">
        <f>18800000/3</f>
        <v>6266666.666666667</v>
      </c>
      <c r="AZ167" s="7">
        <f>18800000/3</f>
        <v>6266666.666666667</v>
      </c>
      <c r="BA167" s="7">
        <f>18800000/3</f>
        <v>6266666.666666667</v>
      </c>
      <c r="BB167" s="7">
        <f>18900000/3</f>
        <v>6300000</v>
      </c>
      <c r="BC167" s="7">
        <f>18900000/3</f>
        <v>6300000</v>
      </c>
      <c r="BD167" s="7">
        <f>18900000/3</f>
        <v>6300000</v>
      </c>
    </row>
    <row r="168" spans="1:56" ht="15" customHeight="1" x14ac:dyDescent="0.25">
      <c r="A168" s="102"/>
      <c r="B168" s="100" t="s">
        <v>214</v>
      </c>
      <c r="C168" s="34"/>
      <c r="D168" s="29"/>
      <c r="E168" s="6"/>
      <c r="F168" s="7">
        <v>5625000</v>
      </c>
      <c r="G168" s="7">
        <v>0</v>
      </c>
      <c r="H168" s="297"/>
      <c r="I168" s="298"/>
      <c r="J168" s="299"/>
      <c r="K168" s="18">
        <f t="shared" si="26"/>
        <v>5625000</v>
      </c>
      <c r="L168" s="115">
        <f t="shared" si="27"/>
        <v>5625000</v>
      </c>
      <c r="M168" s="7">
        <f>375000/3*2</f>
        <v>250000</v>
      </c>
      <c r="N168" s="7">
        <f t="shared" ref="N168:BD168" si="32">375000/3</f>
        <v>125000</v>
      </c>
      <c r="O168" s="7">
        <f t="shared" si="32"/>
        <v>125000</v>
      </c>
      <c r="P168" s="7">
        <f t="shared" si="32"/>
        <v>125000</v>
      </c>
      <c r="Q168" s="7">
        <f t="shared" si="32"/>
        <v>125000</v>
      </c>
      <c r="R168" s="7">
        <f t="shared" si="32"/>
        <v>125000</v>
      </c>
      <c r="S168" s="7">
        <f t="shared" si="32"/>
        <v>125000</v>
      </c>
      <c r="T168" s="7">
        <f t="shared" si="32"/>
        <v>125000</v>
      </c>
      <c r="U168" s="7">
        <f t="shared" si="32"/>
        <v>125000</v>
      </c>
      <c r="V168" s="7">
        <f t="shared" si="32"/>
        <v>125000</v>
      </c>
      <c r="W168" s="7">
        <f t="shared" si="32"/>
        <v>125000</v>
      </c>
      <c r="X168" s="7">
        <f t="shared" si="32"/>
        <v>125000</v>
      </c>
      <c r="Y168" s="7">
        <f t="shared" si="32"/>
        <v>125000</v>
      </c>
      <c r="Z168" s="7">
        <f t="shared" si="32"/>
        <v>125000</v>
      </c>
      <c r="AA168" s="7">
        <f t="shared" si="32"/>
        <v>125000</v>
      </c>
      <c r="AB168" s="7">
        <f t="shared" si="32"/>
        <v>125000</v>
      </c>
      <c r="AC168" s="7">
        <f t="shared" si="32"/>
        <v>125000</v>
      </c>
      <c r="AD168" s="7">
        <f t="shared" si="32"/>
        <v>125000</v>
      </c>
      <c r="AE168" s="7">
        <f t="shared" si="32"/>
        <v>125000</v>
      </c>
      <c r="AF168" s="7">
        <f t="shared" si="32"/>
        <v>125000</v>
      </c>
      <c r="AG168" s="7">
        <f t="shared" si="32"/>
        <v>125000</v>
      </c>
      <c r="AH168" s="7">
        <f t="shared" si="32"/>
        <v>125000</v>
      </c>
      <c r="AI168" s="7">
        <f t="shared" si="32"/>
        <v>125000</v>
      </c>
      <c r="AJ168" s="7">
        <f t="shared" si="32"/>
        <v>125000</v>
      </c>
      <c r="AK168" s="7">
        <f t="shared" si="32"/>
        <v>125000</v>
      </c>
      <c r="AL168" s="7">
        <f t="shared" si="32"/>
        <v>125000</v>
      </c>
      <c r="AM168" s="7">
        <f t="shared" si="32"/>
        <v>125000</v>
      </c>
      <c r="AN168" s="7">
        <f t="shared" si="32"/>
        <v>125000</v>
      </c>
      <c r="AO168" s="7">
        <f t="shared" si="32"/>
        <v>125000</v>
      </c>
      <c r="AP168" s="7">
        <f t="shared" si="32"/>
        <v>125000</v>
      </c>
      <c r="AQ168" s="7">
        <f t="shared" si="32"/>
        <v>125000</v>
      </c>
      <c r="AR168" s="7">
        <f t="shared" si="32"/>
        <v>125000</v>
      </c>
      <c r="AS168" s="7">
        <f t="shared" si="32"/>
        <v>125000</v>
      </c>
      <c r="AT168" s="7">
        <f t="shared" si="32"/>
        <v>125000</v>
      </c>
      <c r="AU168" s="7">
        <f t="shared" si="32"/>
        <v>125000</v>
      </c>
      <c r="AV168" s="7">
        <f t="shared" si="32"/>
        <v>125000</v>
      </c>
      <c r="AW168" s="7">
        <f t="shared" si="32"/>
        <v>125000</v>
      </c>
      <c r="AX168" s="7">
        <f t="shared" si="32"/>
        <v>125000</v>
      </c>
      <c r="AY168" s="7">
        <f t="shared" si="32"/>
        <v>125000</v>
      </c>
      <c r="AZ168" s="7">
        <f t="shared" si="32"/>
        <v>125000</v>
      </c>
      <c r="BA168" s="7">
        <f t="shared" si="32"/>
        <v>125000</v>
      </c>
      <c r="BB168" s="7">
        <f t="shared" si="32"/>
        <v>125000</v>
      </c>
      <c r="BC168" s="7">
        <f t="shared" si="32"/>
        <v>125000</v>
      </c>
      <c r="BD168" s="7">
        <f t="shared" si="32"/>
        <v>125000</v>
      </c>
    </row>
    <row r="169" spans="1:56" s="146" customFormat="1" ht="15" customHeight="1" x14ac:dyDescent="0.25">
      <c r="A169" s="140"/>
      <c r="B169" s="141" t="s">
        <v>100</v>
      </c>
      <c r="C169" s="142"/>
      <c r="D169" s="143"/>
      <c r="E169" s="144"/>
      <c r="F169" s="145"/>
      <c r="G169" s="145"/>
      <c r="H169" s="297"/>
      <c r="I169" s="298"/>
      <c r="J169" s="299"/>
      <c r="K169" s="43">
        <f t="shared" si="26"/>
        <v>0</v>
      </c>
      <c r="L169" s="76">
        <f t="shared" si="27"/>
        <v>0</v>
      </c>
      <c r="M169" s="145"/>
      <c r="N169" s="145"/>
      <c r="O169" s="145"/>
      <c r="P169" s="145"/>
      <c r="Q169" s="145"/>
      <c r="R169" s="145"/>
      <c r="S169" s="145"/>
      <c r="T169" s="145"/>
      <c r="U169" s="145"/>
      <c r="V169" s="145"/>
      <c r="W169" s="145"/>
      <c r="X169" s="145"/>
      <c r="Y169" s="145"/>
      <c r="Z169" s="145"/>
      <c r="AA169" s="145"/>
      <c r="AB169" s="145"/>
      <c r="AC169" s="145"/>
      <c r="AD169" s="145"/>
      <c r="AE169" s="145"/>
      <c r="AF169" s="145"/>
      <c r="AG169" s="145"/>
      <c r="AH169" s="145"/>
      <c r="AI169" s="145"/>
      <c r="AJ169" s="145"/>
      <c r="AK169" s="145"/>
      <c r="AL169" s="145"/>
      <c r="AM169" s="145"/>
      <c r="AN169" s="145"/>
      <c r="AO169" s="145"/>
      <c r="AP169" s="145"/>
      <c r="AQ169" s="145"/>
      <c r="AR169" s="145"/>
      <c r="AS169" s="145"/>
      <c r="AT169" s="145"/>
      <c r="AU169" s="145"/>
      <c r="AV169" s="145"/>
      <c r="AW169" s="145"/>
      <c r="AX169" s="145"/>
      <c r="AY169" s="145"/>
      <c r="AZ169" s="145"/>
      <c r="BA169" s="145"/>
      <c r="BB169" s="145"/>
      <c r="BC169" s="145"/>
      <c r="BD169" s="145"/>
    </row>
    <row r="170" spans="1:56" s="1" customFormat="1" ht="15" customHeight="1" x14ac:dyDescent="0.25">
      <c r="A170" s="39" t="s">
        <v>212</v>
      </c>
      <c r="B170" s="13"/>
      <c r="C170" s="203">
        <v>4000000</v>
      </c>
      <c r="D170" s="206">
        <f>G170+L170</f>
        <v>4000000</v>
      </c>
      <c r="E170" s="194">
        <f>C170-D170</f>
        <v>0</v>
      </c>
      <c r="F170" s="20">
        <f>F171</f>
        <v>4000000</v>
      </c>
      <c r="G170" s="20">
        <f>G171</f>
        <v>800000</v>
      </c>
      <c r="H170" s="306"/>
      <c r="I170" s="307"/>
      <c r="J170" s="308"/>
      <c r="K170" s="20">
        <f t="shared" si="26"/>
        <v>3200000</v>
      </c>
      <c r="L170" s="75">
        <f t="shared" si="27"/>
        <v>3200000</v>
      </c>
      <c r="M170" s="20">
        <f t="shared" ref="M170:BD170" si="33">M171</f>
        <v>100000</v>
      </c>
      <c r="N170" s="20">
        <f t="shared" si="33"/>
        <v>100000</v>
      </c>
      <c r="O170" s="20">
        <f t="shared" si="33"/>
        <v>100000</v>
      </c>
      <c r="P170" s="20">
        <f t="shared" si="33"/>
        <v>100000</v>
      </c>
      <c r="Q170" s="20">
        <f t="shared" si="33"/>
        <v>100000</v>
      </c>
      <c r="R170" s="20">
        <f t="shared" si="33"/>
        <v>100000</v>
      </c>
      <c r="S170" s="20">
        <f t="shared" si="33"/>
        <v>100000</v>
      </c>
      <c r="T170" s="20">
        <f t="shared" si="33"/>
        <v>100000</v>
      </c>
      <c r="U170" s="20">
        <f t="shared" si="33"/>
        <v>100000</v>
      </c>
      <c r="V170" s="20">
        <f t="shared" si="33"/>
        <v>100000</v>
      </c>
      <c r="W170" s="20">
        <f t="shared" si="33"/>
        <v>100000</v>
      </c>
      <c r="X170" s="20">
        <f t="shared" si="33"/>
        <v>100000</v>
      </c>
      <c r="Y170" s="20">
        <f t="shared" si="33"/>
        <v>100000</v>
      </c>
      <c r="Z170" s="20">
        <f t="shared" si="33"/>
        <v>100000</v>
      </c>
      <c r="AA170" s="20">
        <f t="shared" si="33"/>
        <v>100000</v>
      </c>
      <c r="AB170" s="20">
        <f t="shared" si="33"/>
        <v>100000</v>
      </c>
      <c r="AC170" s="20">
        <f t="shared" si="33"/>
        <v>100000</v>
      </c>
      <c r="AD170" s="20">
        <f t="shared" si="33"/>
        <v>100000</v>
      </c>
      <c r="AE170" s="20">
        <f t="shared" si="33"/>
        <v>100000</v>
      </c>
      <c r="AF170" s="20">
        <f t="shared" si="33"/>
        <v>100000</v>
      </c>
      <c r="AG170" s="20">
        <f t="shared" si="33"/>
        <v>100000</v>
      </c>
      <c r="AH170" s="20">
        <f t="shared" si="33"/>
        <v>100000</v>
      </c>
      <c r="AI170" s="20">
        <f t="shared" si="33"/>
        <v>100000</v>
      </c>
      <c r="AJ170" s="20">
        <f t="shared" si="33"/>
        <v>100000</v>
      </c>
      <c r="AK170" s="20">
        <f t="shared" si="33"/>
        <v>100000</v>
      </c>
      <c r="AL170" s="20">
        <f t="shared" si="33"/>
        <v>100000</v>
      </c>
      <c r="AM170" s="20">
        <f t="shared" si="33"/>
        <v>100000</v>
      </c>
      <c r="AN170" s="20">
        <f t="shared" si="33"/>
        <v>100000</v>
      </c>
      <c r="AO170" s="20">
        <f t="shared" si="33"/>
        <v>100000</v>
      </c>
      <c r="AP170" s="20">
        <f t="shared" si="33"/>
        <v>100000</v>
      </c>
      <c r="AQ170" s="20">
        <f t="shared" si="33"/>
        <v>100000</v>
      </c>
      <c r="AR170" s="20">
        <f t="shared" si="33"/>
        <v>100000</v>
      </c>
      <c r="AS170" s="20">
        <f t="shared" si="33"/>
        <v>0</v>
      </c>
      <c r="AT170" s="20">
        <f t="shared" si="33"/>
        <v>0</v>
      </c>
      <c r="AU170" s="20">
        <f t="shared" si="33"/>
        <v>0</v>
      </c>
      <c r="AV170" s="20">
        <f t="shared" si="33"/>
        <v>0</v>
      </c>
      <c r="AW170" s="20">
        <f t="shared" si="33"/>
        <v>0</v>
      </c>
      <c r="AX170" s="20">
        <f t="shared" si="33"/>
        <v>0</v>
      </c>
      <c r="AY170" s="20">
        <f t="shared" si="33"/>
        <v>0</v>
      </c>
      <c r="AZ170" s="20">
        <f t="shared" si="33"/>
        <v>0</v>
      </c>
      <c r="BA170" s="20">
        <f t="shared" si="33"/>
        <v>0</v>
      </c>
      <c r="BB170" s="20">
        <f t="shared" si="33"/>
        <v>0</v>
      </c>
      <c r="BC170" s="20">
        <f t="shared" si="33"/>
        <v>0</v>
      </c>
      <c r="BD170" s="20">
        <f t="shared" si="33"/>
        <v>0</v>
      </c>
    </row>
    <row r="171" spans="1:56" ht="15" customHeight="1" x14ac:dyDescent="0.25">
      <c r="A171" s="6"/>
      <c r="B171" s="6"/>
      <c r="C171" s="34"/>
      <c r="D171" s="29"/>
      <c r="E171" s="6"/>
      <c r="F171" s="7">
        <v>4000000</v>
      </c>
      <c r="G171" s="7">
        <f>400000+300000+100000</f>
        <v>800000</v>
      </c>
      <c r="H171" s="297"/>
      <c r="I171" s="298"/>
      <c r="J171" s="299"/>
      <c r="K171" s="18">
        <f t="shared" si="26"/>
        <v>3200000</v>
      </c>
      <c r="L171" s="115">
        <f t="shared" si="27"/>
        <v>3200000</v>
      </c>
      <c r="M171" s="7">
        <v>100000</v>
      </c>
      <c r="N171" s="7">
        <v>100000</v>
      </c>
      <c r="O171" s="7">
        <v>100000</v>
      </c>
      <c r="P171" s="7">
        <v>100000</v>
      </c>
      <c r="Q171" s="7">
        <v>100000</v>
      </c>
      <c r="R171" s="7">
        <v>100000</v>
      </c>
      <c r="S171" s="7">
        <v>100000</v>
      </c>
      <c r="T171" s="7">
        <v>100000</v>
      </c>
      <c r="U171" s="7">
        <v>100000</v>
      </c>
      <c r="V171" s="7">
        <v>100000</v>
      </c>
      <c r="W171" s="7">
        <v>100000</v>
      </c>
      <c r="X171" s="7">
        <v>100000</v>
      </c>
      <c r="Y171" s="7">
        <v>100000</v>
      </c>
      <c r="Z171" s="7">
        <v>100000</v>
      </c>
      <c r="AA171" s="7">
        <v>100000</v>
      </c>
      <c r="AB171" s="7">
        <v>100000</v>
      </c>
      <c r="AC171" s="7">
        <v>100000</v>
      </c>
      <c r="AD171" s="7">
        <v>100000</v>
      </c>
      <c r="AE171" s="7">
        <v>100000</v>
      </c>
      <c r="AF171" s="7">
        <v>100000</v>
      </c>
      <c r="AG171" s="7">
        <v>100000</v>
      </c>
      <c r="AH171" s="7">
        <v>100000</v>
      </c>
      <c r="AI171" s="7">
        <v>100000</v>
      </c>
      <c r="AJ171" s="7">
        <v>100000</v>
      </c>
      <c r="AK171" s="7">
        <v>100000</v>
      </c>
      <c r="AL171" s="7">
        <v>100000</v>
      </c>
      <c r="AM171" s="7">
        <v>100000</v>
      </c>
      <c r="AN171" s="7">
        <v>100000</v>
      </c>
      <c r="AO171" s="7">
        <v>100000</v>
      </c>
      <c r="AP171" s="7">
        <v>100000</v>
      </c>
      <c r="AQ171" s="7">
        <v>100000</v>
      </c>
      <c r="AR171" s="7">
        <v>100000</v>
      </c>
      <c r="AS171" s="7"/>
      <c r="AT171" s="7"/>
      <c r="AU171" s="7"/>
      <c r="AV171" s="7"/>
      <c r="AW171" s="7"/>
      <c r="AX171" s="7"/>
      <c r="AY171" s="7"/>
      <c r="AZ171" s="7"/>
      <c r="BA171" s="7"/>
      <c r="BB171" s="7"/>
      <c r="BC171" s="7"/>
      <c r="BD171" s="7"/>
    </row>
    <row r="172" spans="1:56" s="1" customFormat="1" ht="15" x14ac:dyDescent="0.25">
      <c r="A172" s="14" t="s">
        <v>265</v>
      </c>
      <c r="B172" s="14"/>
      <c r="C172" s="195">
        <f>C5+C7+C13+C57+C161+C166+C170</f>
        <v>9570625000</v>
      </c>
      <c r="D172" s="195">
        <f>D5+D7+D13+D57+D161+D166+D170</f>
        <v>9570515791.6000004</v>
      </c>
      <c r="E172" s="195">
        <f>C172-D172</f>
        <v>109208.39999961853</v>
      </c>
      <c r="F172" s="15">
        <f>F5+F7+F13+F57+F161+F166+F170</f>
        <v>12358056301.290001</v>
      </c>
      <c r="G172" s="15">
        <f>G5+G7+G13+G57+G161+G166+G170</f>
        <v>3296400331.1199999</v>
      </c>
      <c r="H172" s="291"/>
      <c r="I172" s="292"/>
      <c r="J172" s="293"/>
      <c r="K172" s="15">
        <f t="shared" ref="K172:BD172" si="34">K5+K7+K13+K57+K161+K166+K170</f>
        <v>9061655970.170002</v>
      </c>
      <c r="L172" s="15">
        <f t="shared" si="34"/>
        <v>3603906240.48</v>
      </c>
      <c r="M172" s="15">
        <f t="shared" si="34"/>
        <v>38032614.123333335</v>
      </c>
      <c r="N172" s="15">
        <f t="shared" si="34"/>
        <v>66830143.356666662</v>
      </c>
      <c r="O172" s="15">
        <f t="shared" si="34"/>
        <v>155994682.94999999</v>
      </c>
      <c r="P172" s="15">
        <f t="shared" si="34"/>
        <v>65858512.25</v>
      </c>
      <c r="Q172" s="15">
        <f t="shared" si="34"/>
        <v>91205843.699999988</v>
      </c>
      <c r="R172" s="15">
        <f t="shared" si="34"/>
        <v>278142266</v>
      </c>
      <c r="S172" s="15">
        <f t="shared" si="34"/>
        <v>162750212.25</v>
      </c>
      <c r="T172" s="15">
        <f t="shared" si="34"/>
        <v>147856723.25</v>
      </c>
      <c r="U172" s="15">
        <f t="shared" si="34"/>
        <v>167145590.72666666</v>
      </c>
      <c r="V172" s="15">
        <f t="shared" si="34"/>
        <v>185007237.53666666</v>
      </c>
      <c r="W172" s="15">
        <f t="shared" si="34"/>
        <v>33952696.88666667</v>
      </c>
      <c r="X172" s="15">
        <f t="shared" si="34"/>
        <v>99232924.060000002</v>
      </c>
      <c r="Y172" s="15">
        <f t="shared" si="34"/>
        <v>110033117.87</v>
      </c>
      <c r="Z172" s="15">
        <f t="shared" si="34"/>
        <v>-48084775</v>
      </c>
      <c r="AA172" s="15">
        <f t="shared" si="34"/>
        <v>197993667.52333334</v>
      </c>
      <c r="AB172" s="15">
        <f t="shared" si="34"/>
        <v>209043861.33333334</v>
      </c>
      <c r="AC172" s="15">
        <f t="shared" si="34"/>
        <v>-6930571.666666667</v>
      </c>
      <c r="AD172" s="15">
        <f t="shared" si="34"/>
        <v>135852667.52333334</v>
      </c>
      <c r="AE172" s="15">
        <f t="shared" si="34"/>
        <v>156959890.33333334</v>
      </c>
      <c r="AF172" s="15">
        <f t="shared" si="34"/>
        <v>-1375571.6666666665</v>
      </c>
      <c r="AG172" s="15">
        <f t="shared" si="34"/>
        <v>164886000.85666665</v>
      </c>
      <c r="AH172" s="15">
        <f t="shared" si="34"/>
        <v>227836194.66666666</v>
      </c>
      <c r="AI172" s="15">
        <f t="shared" si="34"/>
        <v>72000056.666666672</v>
      </c>
      <c r="AJ172" s="15">
        <f t="shared" si="34"/>
        <v>154736000.85666665</v>
      </c>
      <c r="AK172" s="15">
        <f t="shared" si="34"/>
        <v>129444194.66666667</v>
      </c>
      <c r="AL172" s="15">
        <f t="shared" si="34"/>
        <v>2229204.666666667</v>
      </c>
      <c r="AM172" s="15">
        <f t="shared" si="34"/>
        <v>114660667.52333333</v>
      </c>
      <c r="AN172" s="15">
        <f t="shared" si="34"/>
        <v>119710861.33333333</v>
      </c>
      <c r="AO172" s="15">
        <f t="shared" si="34"/>
        <v>-22504128.666666668</v>
      </c>
      <c r="AP172" s="15">
        <f t="shared" si="34"/>
        <v>90297334.189999998</v>
      </c>
      <c r="AQ172" s="15">
        <f t="shared" si="34"/>
        <v>119222528</v>
      </c>
      <c r="AR172" s="15">
        <f t="shared" si="34"/>
        <v>-14504132</v>
      </c>
      <c r="AS172" s="15">
        <f t="shared" si="34"/>
        <v>81230667.523333326</v>
      </c>
      <c r="AT172" s="15">
        <f t="shared" si="34"/>
        <v>49155861.333333336</v>
      </c>
      <c r="AU172" s="15">
        <f t="shared" si="34"/>
        <v>20855861.333333332</v>
      </c>
      <c r="AV172" s="15">
        <f t="shared" si="34"/>
        <v>13047334.189999999</v>
      </c>
      <c r="AW172" s="15">
        <f t="shared" si="34"/>
        <v>10825000</v>
      </c>
      <c r="AX172" s="15">
        <f t="shared" si="34"/>
        <v>-1175000</v>
      </c>
      <c r="AY172" s="15">
        <f t="shared" si="34"/>
        <v>10391666.666666668</v>
      </c>
      <c r="AZ172" s="15">
        <f t="shared" si="34"/>
        <v>10391666.666666668</v>
      </c>
      <c r="BA172" s="15">
        <f t="shared" si="34"/>
        <v>-1608333.333333333</v>
      </c>
      <c r="BB172" s="15">
        <f t="shared" si="34"/>
        <v>6425000</v>
      </c>
      <c r="BC172" s="15">
        <f t="shared" si="34"/>
        <v>6425000</v>
      </c>
      <c r="BD172" s="15">
        <f t="shared" si="34"/>
        <v>-5575000</v>
      </c>
    </row>
    <row r="173" spans="1:56" x14ac:dyDescent="0.25">
      <c r="O173" s="285">
        <f>SUM(O172:Q172)</f>
        <v>313059038.89999998</v>
      </c>
      <c r="P173" s="286"/>
      <c r="Q173" s="287"/>
      <c r="R173" s="285">
        <f>SUM(R172:T172)</f>
        <v>588749201.5</v>
      </c>
      <c r="S173" s="286"/>
      <c r="T173" s="287"/>
      <c r="U173" s="285">
        <f>SUM(U172:W172)</f>
        <v>386105525.14999998</v>
      </c>
      <c r="V173" s="286"/>
      <c r="W173" s="287"/>
      <c r="X173" s="285">
        <f>SUM(X172:Z172)</f>
        <v>161181266.93000001</v>
      </c>
      <c r="Y173" s="286"/>
      <c r="Z173" s="287"/>
      <c r="AA173" s="285">
        <f>SUM(AA172:AC172)</f>
        <v>400106957.19</v>
      </c>
      <c r="AB173" s="286"/>
      <c r="AC173" s="287"/>
      <c r="AD173" s="285">
        <f>SUM(AD172:AF172)</f>
        <v>291436986.19</v>
      </c>
      <c r="AE173" s="286"/>
      <c r="AF173" s="287"/>
      <c r="AG173" s="285">
        <f>SUM(AG172:AI172)</f>
        <v>464722252.19</v>
      </c>
      <c r="AH173" s="286"/>
      <c r="AI173" s="287"/>
      <c r="AJ173" s="285">
        <f>SUM(AJ172:AL172)</f>
        <v>286409400.19</v>
      </c>
      <c r="AK173" s="286"/>
      <c r="AL173" s="287"/>
      <c r="AM173" s="285">
        <f>SUM(AM172:AO172)</f>
        <v>211867400.19</v>
      </c>
      <c r="AN173" s="286"/>
      <c r="AO173" s="287"/>
      <c r="AP173" s="285">
        <f>SUM(AP172:AR172)</f>
        <v>195015730.19</v>
      </c>
      <c r="AQ173" s="286"/>
      <c r="AR173" s="287"/>
      <c r="AS173" s="285">
        <f>SUM(AS172:AU172)</f>
        <v>151242390.19</v>
      </c>
      <c r="AT173" s="286"/>
      <c r="AU173" s="287"/>
      <c r="AV173" s="285">
        <f>SUM(AV172:AX172)</f>
        <v>22697334.189999998</v>
      </c>
      <c r="AW173" s="286"/>
      <c r="AX173" s="287"/>
      <c r="AY173" s="285">
        <f>SUM(AY172:BA172)</f>
        <v>19175000.000000004</v>
      </c>
      <c r="AZ173" s="286"/>
      <c r="BA173" s="287"/>
      <c r="BB173" s="285">
        <f>SUM(BB172:BD172)</f>
        <v>7275000</v>
      </c>
      <c r="BC173" s="286"/>
      <c r="BD173" s="287"/>
    </row>
    <row r="175" spans="1:56" s="190" customFormat="1" x14ac:dyDescent="0.25">
      <c r="A175" s="191" t="s">
        <v>264</v>
      </c>
      <c r="B175" s="192"/>
      <c r="C175" s="193"/>
      <c r="D175" s="193"/>
      <c r="E175" s="193"/>
      <c r="F175" s="193">
        <f>F22+F93+F98+F108+F121+F128+F137+F145+F153</f>
        <v>-2670209221</v>
      </c>
      <c r="G175" s="193">
        <f>G22+G93+G98+G108+G121+G128+G137+G145+G153</f>
        <v>0</v>
      </c>
      <c r="H175" s="294"/>
      <c r="I175" s="295"/>
      <c r="J175" s="296"/>
      <c r="K175" s="193">
        <f>K22+K93+K98+K108+K121+K128+K137+K145+K153</f>
        <v>-2670209221</v>
      </c>
      <c r="L175" s="193">
        <f t="shared" ref="L175:BD175" si="35">L22+L93+L98+L108+L121+L128+L137+L145+L153</f>
        <v>-2670209220</v>
      </c>
      <c r="M175" s="193">
        <f t="shared" si="35"/>
        <v>-19586236</v>
      </c>
      <c r="N175" s="193">
        <f t="shared" si="35"/>
        <v>-10000000</v>
      </c>
      <c r="O175" s="193">
        <f t="shared" si="35"/>
        <v>0</v>
      </c>
      <c r="P175" s="193">
        <f t="shared" si="35"/>
        <v>0</v>
      </c>
      <c r="Q175" s="193">
        <f t="shared" si="35"/>
        <v>-18500000</v>
      </c>
      <c r="R175" s="193">
        <f t="shared" si="35"/>
        <v>0</v>
      </c>
      <c r="S175" s="193">
        <f t="shared" si="35"/>
        <v>-13125000</v>
      </c>
      <c r="T175" s="193">
        <f t="shared" si="35"/>
        <v>-71316989</v>
      </c>
      <c r="U175" s="193">
        <f t="shared" si="35"/>
        <v>-5000000</v>
      </c>
      <c r="V175" s="193">
        <f t="shared" si="35"/>
        <v>-18125000</v>
      </c>
      <c r="W175" s="193">
        <f t="shared" si="35"/>
        <v>-162370532</v>
      </c>
      <c r="X175" s="193">
        <f t="shared" si="35"/>
        <v>-10000000</v>
      </c>
      <c r="Y175" s="193">
        <f t="shared" si="35"/>
        <v>-28125000</v>
      </c>
      <c r="Z175" s="193">
        <f t="shared" si="35"/>
        <v>-154928303</v>
      </c>
      <c r="AA175" s="193">
        <f t="shared" si="35"/>
        <v>-23750000</v>
      </c>
      <c r="AB175" s="193">
        <f t="shared" si="35"/>
        <v>-31875000</v>
      </c>
      <c r="AC175" s="193">
        <f t="shared" si="35"/>
        <v>-177403433</v>
      </c>
      <c r="AD175" s="193">
        <f t="shared" si="35"/>
        <v>-30250000</v>
      </c>
      <c r="AE175" s="193">
        <f t="shared" si="35"/>
        <v>-50557516</v>
      </c>
      <c r="AF175" s="193">
        <f t="shared" si="35"/>
        <v>-181403433</v>
      </c>
      <c r="AG175" s="193">
        <f t="shared" si="35"/>
        <v>-55750000</v>
      </c>
      <c r="AH175" s="193">
        <f t="shared" si="35"/>
        <v>-64875000</v>
      </c>
      <c r="AI175" s="193">
        <f t="shared" si="35"/>
        <v>-253361138</v>
      </c>
      <c r="AJ175" s="193">
        <f t="shared" si="35"/>
        <v>-115250000</v>
      </c>
      <c r="AK175" s="193">
        <f t="shared" si="35"/>
        <v>-113875000</v>
      </c>
      <c r="AL175" s="193">
        <f t="shared" si="35"/>
        <v>-234839990</v>
      </c>
      <c r="AM175" s="193">
        <f t="shared" si="35"/>
        <v>-96250000</v>
      </c>
      <c r="AN175" s="193">
        <f t="shared" si="35"/>
        <v>-91375000</v>
      </c>
      <c r="AO175" s="193">
        <f t="shared" si="35"/>
        <v>-213339990</v>
      </c>
      <c r="AP175" s="193">
        <f t="shared" si="35"/>
        <v>-75750000</v>
      </c>
      <c r="AQ175" s="193">
        <f t="shared" si="35"/>
        <v>-91750000</v>
      </c>
      <c r="AR175" s="193">
        <f t="shared" si="35"/>
        <v>-134976660</v>
      </c>
      <c r="AS175" s="193">
        <f t="shared" si="35"/>
        <v>-38250000</v>
      </c>
      <c r="AT175" s="193">
        <f t="shared" si="35"/>
        <v>-26250000</v>
      </c>
      <c r="AU175" s="193">
        <f t="shared" si="35"/>
        <v>-22000000</v>
      </c>
      <c r="AV175" s="193">
        <f t="shared" si="35"/>
        <v>0</v>
      </c>
      <c r="AW175" s="193">
        <f t="shared" si="35"/>
        <v>0</v>
      </c>
      <c r="AX175" s="193">
        <f t="shared" si="35"/>
        <v>-12000000</v>
      </c>
      <c r="AY175" s="193">
        <f t="shared" si="35"/>
        <v>0</v>
      </c>
      <c r="AZ175" s="193">
        <f t="shared" si="35"/>
        <v>0</v>
      </c>
      <c r="BA175" s="193">
        <f t="shared" si="35"/>
        <v>-12000000</v>
      </c>
      <c r="BB175" s="193">
        <f t="shared" si="35"/>
        <v>0</v>
      </c>
      <c r="BC175" s="193">
        <f t="shared" si="35"/>
        <v>0</v>
      </c>
      <c r="BD175" s="193">
        <f t="shared" si="35"/>
        <v>-12000000</v>
      </c>
    </row>
    <row r="176" spans="1:56" s="208" customFormat="1" x14ac:dyDescent="0.25">
      <c r="C176" s="209"/>
      <c r="D176" s="210"/>
      <c r="F176" s="211"/>
      <c r="G176" s="211"/>
      <c r="H176" s="212"/>
      <c r="I176" s="212"/>
      <c r="J176" s="211"/>
      <c r="K176" s="211"/>
      <c r="L176" s="190"/>
      <c r="M176" s="211"/>
      <c r="N176" s="211"/>
      <c r="O176" s="288">
        <f>SUM(O175:Q175)</f>
        <v>-18500000</v>
      </c>
      <c r="P176" s="289"/>
      <c r="Q176" s="290"/>
      <c r="R176" s="288">
        <f>SUM(R175:T175)</f>
        <v>-84441989</v>
      </c>
      <c r="S176" s="289"/>
      <c r="T176" s="290"/>
      <c r="U176" s="288">
        <f>SUM(U175:W175)</f>
        <v>-185495532</v>
      </c>
      <c r="V176" s="289"/>
      <c r="W176" s="290"/>
      <c r="X176" s="288">
        <f>SUM(X175:Z175)</f>
        <v>-193053303</v>
      </c>
      <c r="Y176" s="289"/>
      <c r="Z176" s="290"/>
      <c r="AA176" s="288">
        <f>SUM(AA175:AC175)</f>
        <v>-233028433</v>
      </c>
      <c r="AB176" s="289"/>
      <c r="AC176" s="290"/>
      <c r="AD176" s="288">
        <f>SUM(AD175:AF175)</f>
        <v>-262210949</v>
      </c>
      <c r="AE176" s="289"/>
      <c r="AF176" s="290"/>
      <c r="AG176" s="288">
        <f>SUM(AG175:AI175)</f>
        <v>-373986138</v>
      </c>
      <c r="AH176" s="289"/>
      <c r="AI176" s="290"/>
      <c r="AJ176" s="288">
        <f>SUM(AJ175:AL175)</f>
        <v>-463964990</v>
      </c>
      <c r="AK176" s="289"/>
      <c r="AL176" s="290"/>
      <c r="AM176" s="288">
        <f>SUM(AM175:AO175)</f>
        <v>-400964990</v>
      </c>
      <c r="AN176" s="289"/>
      <c r="AO176" s="290"/>
      <c r="AP176" s="288">
        <f>SUM(AP175:AR175)</f>
        <v>-302476660</v>
      </c>
      <c r="AQ176" s="289"/>
      <c r="AR176" s="290"/>
      <c r="AS176" s="288">
        <f>SUM(AS175:AU175)</f>
        <v>-86500000</v>
      </c>
      <c r="AT176" s="289"/>
      <c r="AU176" s="290"/>
      <c r="AV176" s="288">
        <f>SUM(AV175:AX175)</f>
        <v>-12000000</v>
      </c>
      <c r="AW176" s="289"/>
      <c r="AX176" s="290"/>
      <c r="AY176" s="288">
        <f>SUM(AY175:BA175)</f>
        <v>-12000000</v>
      </c>
      <c r="AZ176" s="289"/>
      <c r="BA176" s="290"/>
      <c r="BB176" s="288">
        <f>SUM(BB175:BD175)</f>
        <v>-12000000</v>
      </c>
      <c r="BC176" s="289"/>
      <c r="BD176" s="290"/>
    </row>
    <row r="178" spans="1:56" s="1" customFormat="1" ht="15" x14ac:dyDescent="0.25">
      <c r="A178" s="14" t="s">
        <v>31</v>
      </c>
      <c r="B178" s="14"/>
      <c r="C178" s="195">
        <f>C172</f>
        <v>9570625000</v>
      </c>
      <c r="D178" s="195">
        <f>D172</f>
        <v>9570515791.6000004</v>
      </c>
      <c r="E178" s="195">
        <f>C178-D178</f>
        <v>109208.39999961853</v>
      </c>
      <c r="F178" s="15">
        <f>-F175+F172</f>
        <v>15028265522.290001</v>
      </c>
      <c r="G178" s="15">
        <f>-G175+G172</f>
        <v>3296400331.1199999</v>
      </c>
      <c r="H178" s="291"/>
      <c r="I178" s="292"/>
      <c r="J178" s="293"/>
      <c r="K178" s="15">
        <f t="shared" ref="K178:BC178" si="36">-K175+K172</f>
        <v>11731865191.170002</v>
      </c>
      <c r="L178" s="15">
        <f t="shared" si="36"/>
        <v>6274115460.4799995</v>
      </c>
      <c r="M178" s="15">
        <f t="shared" si="36"/>
        <v>57618850.123333335</v>
      </c>
      <c r="N178" s="15">
        <f t="shared" si="36"/>
        <v>76830143.356666654</v>
      </c>
      <c r="O178" s="15">
        <f t="shared" si="36"/>
        <v>155994682.94999999</v>
      </c>
      <c r="P178" s="15">
        <f t="shared" si="36"/>
        <v>65858512.25</v>
      </c>
      <c r="Q178" s="15">
        <f t="shared" si="36"/>
        <v>109705843.69999999</v>
      </c>
      <c r="R178" s="15">
        <f t="shared" si="36"/>
        <v>278142266</v>
      </c>
      <c r="S178" s="15">
        <f t="shared" si="36"/>
        <v>175875212.25</v>
      </c>
      <c r="T178" s="15">
        <f t="shared" si="36"/>
        <v>219173712.25</v>
      </c>
      <c r="U178" s="15">
        <f t="shared" si="36"/>
        <v>172145590.72666666</v>
      </c>
      <c r="V178" s="15">
        <f t="shared" si="36"/>
        <v>203132237.53666666</v>
      </c>
      <c r="W178" s="15">
        <f t="shared" si="36"/>
        <v>196323228.88666666</v>
      </c>
      <c r="X178" s="15">
        <f t="shared" si="36"/>
        <v>109232924.06</v>
      </c>
      <c r="Y178" s="15">
        <f t="shared" si="36"/>
        <v>138158117.87</v>
      </c>
      <c r="Z178" s="15">
        <f t="shared" si="36"/>
        <v>106843528</v>
      </c>
      <c r="AA178" s="15">
        <f t="shared" si="36"/>
        <v>221743667.52333334</v>
      </c>
      <c r="AB178" s="15">
        <f t="shared" si="36"/>
        <v>240918861.33333334</v>
      </c>
      <c r="AC178" s="15">
        <f t="shared" si="36"/>
        <v>170472861.33333334</v>
      </c>
      <c r="AD178" s="15">
        <f t="shared" si="36"/>
        <v>166102667.52333334</v>
      </c>
      <c r="AE178" s="15">
        <f t="shared" si="36"/>
        <v>207517406.33333334</v>
      </c>
      <c r="AF178" s="15">
        <f t="shared" si="36"/>
        <v>180027861.33333334</v>
      </c>
      <c r="AG178" s="15">
        <f t="shared" si="36"/>
        <v>220636000.85666665</v>
      </c>
      <c r="AH178" s="15">
        <f t="shared" si="36"/>
        <v>292711194.66666663</v>
      </c>
      <c r="AI178" s="15">
        <f t="shared" si="36"/>
        <v>325361194.66666669</v>
      </c>
      <c r="AJ178" s="15">
        <f t="shared" si="36"/>
        <v>269986000.85666668</v>
      </c>
      <c r="AK178" s="15">
        <f t="shared" si="36"/>
        <v>243319194.66666669</v>
      </c>
      <c r="AL178" s="15">
        <f t="shared" si="36"/>
        <v>237069194.66666666</v>
      </c>
      <c r="AM178" s="15">
        <f t="shared" si="36"/>
        <v>210910667.52333331</v>
      </c>
      <c r="AN178" s="15">
        <f t="shared" si="36"/>
        <v>211085861.33333331</v>
      </c>
      <c r="AO178" s="15">
        <f t="shared" si="36"/>
        <v>190835861.33333334</v>
      </c>
      <c r="AP178" s="15">
        <f t="shared" si="36"/>
        <v>166047334.19</v>
      </c>
      <c r="AQ178" s="15">
        <f t="shared" si="36"/>
        <v>210972528</v>
      </c>
      <c r="AR178" s="15">
        <f t="shared" si="36"/>
        <v>120472528</v>
      </c>
      <c r="AS178" s="15">
        <f t="shared" si="36"/>
        <v>119480667.52333333</v>
      </c>
      <c r="AT178" s="15">
        <f t="shared" si="36"/>
        <v>75405861.333333343</v>
      </c>
      <c r="AU178" s="15">
        <f t="shared" si="36"/>
        <v>42855861.333333328</v>
      </c>
      <c r="AV178" s="15">
        <f t="shared" si="36"/>
        <v>13047334.189999999</v>
      </c>
      <c r="AW178" s="15">
        <f t="shared" si="36"/>
        <v>10825000</v>
      </c>
      <c r="AX178" s="15">
        <f t="shared" si="36"/>
        <v>10825000</v>
      </c>
      <c r="AY178" s="15">
        <f t="shared" si="36"/>
        <v>10391666.666666668</v>
      </c>
      <c r="AZ178" s="15">
        <f t="shared" si="36"/>
        <v>10391666.666666668</v>
      </c>
      <c r="BA178" s="15">
        <f t="shared" si="36"/>
        <v>10391666.666666668</v>
      </c>
      <c r="BB178" s="15">
        <f t="shared" si="36"/>
        <v>6425000</v>
      </c>
      <c r="BC178" s="15">
        <f t="shared" si="36"/>
        <v>6425000</v>
      </c>
      <c r="BD178" s="15">
        <f>-BD175+BD172</f>
        <v>6425000</v>
      </c>
    </row>
    <row r="179" spans="1:56" x14ac:dyDescent="0.25">
      <c r="O179" s="285">
        <f>SUM(O178:Q178)</f>
        <v>331559038.89999998</v>
      </c>
      <c r="P179" s="286"/>
      <c r="Q179" s="287"/>
      <c r="R179" s="285">
        <f>SUM(R178:T178)</f>
        <v>673191190.5</v>
      </c>
      <c r="S179" s="286"/>
      <c r="T179" s="287"/>
      <c r="U179" s="285">
        <f>SUM(U178:W178)</f>
        <v>571601057.14999998</v>
      </c>
      <c r="V179" s="286"/>
      <c r="W179" s="287"/>
      <c r="X179" s="285">
        <f>SUM(X178:Z178)</f>
        <v>354234569.93000001</v>
      </c>
      <c r="Y179" s="286"/>
      <c r="Z179" s="287"/>
      <c r="AA179" s="285">
        <f>SUM(AA178:AC178)</f>
        <v>633135390.19000006</v>
      </c>
      <c r="AB179" s="286"/>
      <c r="AC179" s="287"/>
      <c r="AD179" s="285">
        <f>SUM(AD178:AF178)</f>
        <v>553647935.19000006</v>
      </c>
      <c r="AE179" s="286"/>
      <c r="AF179" s="287"/>
      <c r="AG179" s="285">
        <f>SUM(AG178:AI178)</f>
        <v>838708390.19000006</v>
      </c>
      <c r="AH179" s="286"/>
      <c r="AI179" s="287"/>
      <c r="AJ179" s="285">
        <f>SUM(AJ178:AL178)</f>
        <v>750374390.19000006</v>
      </c>
      <c r="AK179" s="286"/>
      <c r="AL179" s="287"/>
      <c r="AM179" s="285">
        <f>SUM(AM178:AO178)</f>
        <v>612832390.18999994</v>
      </c>
      <c r="AN179" s="286"/>
      <c r="AO179" s="287"/>
      <c r="AP179" s="285">
        <f>SUM(AP178:AR178)</f>
        <v>497492390.19</v>
      </c>
      <c r="AQ179" s="286"/>
      <c r="AR179" s="287"/>
      <c r="AS179" s="285">
        <f>SUM(AS178:AU178)</f>
        <v>237742390.19</v>
      </c>
      <c r="AT179" s="286"/>
      <c r="AU179" s="287"/>
      <c r="AV179" s="285">
        <f>SUM(AV178:AX178)</f>
        <v>34697334.189999998</v>
      </c>
      <c r="AW179" s="286"/>
      <c r="AX179" s="287"/>
      <c r="AY179" s="285">
        <f>SUM(AY178:BA178)</f>
        <v>31175000.000000004</v>
      </c>
      <c r="AZ179" s="286"/>
      <c r="BA179" s="287"/>
      <c r="BB179" s="285">
        <f>SUM(BB178:BD178)</f>
        <v>19275000</v>
      </c>
      <c r="BC179" s="286"/>
      <c r="BD179" s="287"/>
    </row>
  </sheetData>
  <autoFilter ref="A4:F172"/>
  <mergeCells count="229">
    <mergeCell ref="H86:J86"/>
    <mergeCell ref="B26:B40"/>
    <mergeCell ref="B23:B25"/>
    <mergeCell ref="H24:J24"/>
    <mergeCell ref="H22:J22"/>
    <mergeCell ref="H23:J23"/>
    <mergeCell ref="H62:J62"/>
    <mergeCell ref="H60:J60"/>
    <mergeCell ref="H55:J55"/>
    <mergeCell ref="H57:J57"/>
    <mergeCell ref="B60:B62"/>
    <mergeCell ref="B73:B83"/>
    <mergeCell ref="H73:J73"/>
    <mergeCell ref="H64:J64"/>
    <mergeCell ref="H56:J56"/>
    <mergeCell ref="BC3:BC4"/>
    <mergeCell ref="BD3:BD4"/>
    <mergeCell ref="H50:J50"/>
    <mergeCell ref="AR3:AR4"/>
    <mergeCell ref="AS3:AS4"/>
    <mergeCell ref="AT3:AT4"/>
    <mergeCell ref="AU3:AU4"/>
    <mergeCell ref="AV3:AV4"/>
    <mergeCell ref="AW3:AW4"/>
    <mergeCell ref="AX3:AX4"/>
    <mergeCell ref="AY3:AY4"/>
    <mergeCell ref="AZ3:AZ4"/>
    <mergeCell ref="AI3:AI4"/>
    <mergeCell ref="AJ3:AJ4"/>
    <mergeCell ref="AK3:AK4"/>
    <mergeCell ref="AL3:AL4"/>
    <mergeCell ref="AM3:AM4"/>
    <mergeCell ref="AN3:AN4"/>
    <mergeCell ref="AO3:AO4"/>
    <mergeCell ref="AP3:AP4"/>
    <mergeCell ref="U3:U4"/>
    <mergeCell ref="V3:V4"/>
    <mergeCell ref="O3:O4"/>
    <mergeCell ref="P3:P4"/>
    <mergeCell ref="BB3:BB4"/>
    <mergeCell ref="AD3:AD4"/>
    <mergeCell ref="AE3:AE4"/>
    <mergeCell ref="AF3:AF4"/>
    <mergeCell ref="AG3:AG4"/>
    <mergeCell ref="AH3:AH4"/>
    <mergeCell ref="AB3:AB4"/>
    <mergeCell ref="AC3:AC4"/>
    <mergeCell ref="W3:W4"/>
    <mergeCell ref="X3:X4"/>
    <mergeCell ref="AQ3:AQ4"/>
    <mergeCell ref="BA3:BA4"/>
    <mergeCell ref="Y3:Y4"/>
    <mergeCell ref="Z3:Z4"/>
    <mergeCell ref="AA3:AA4"/>
    <mergeCell ref="S3:S4"/>
    <mergeCell ref="T3:T4"/>
    <mergeCell ref="H38:J38"/>
    <mergeCell ref="H39:J39"/>
    <mergeCell ref="H52:J52"/>
    <mergeCell ref="H41:J41"/>
    <mergeCell ref="H43:J43"/>
    <mergeCell ref="H44:J44"/>
    <mergeCell ref="H53:J53"/>
    <mergeCell ref="L3:L4"/>
    <mergeCell ref="Q3:Q4"/>
    <mergeCell ref="H49:J49"/>
    <mergeCell ref="M3:M4"/>
    <mergeCell ref="N3:N4"/>
    <mergeCell ref="R3:R4"/>
    <mergeCell ref="H35:J35"/>
    <mergeCell ref="H36:J36"/>
    <mergeCell ref="H40:J40"/>
    <mergeCell ref="H45:J45"/>
    <mergeCell ref="H47:J47"/>
    <mergeCell ref="H48:J48"/>
    <mergeCell ref="H51:J51"/>
    <mergeCell ref="K3:K4"/>
    <mergeCell ref="H25:J25"/>
    <mergeCell ref="H11:J11"/>
    <mergeCell ref="H26:J26"/>
    <mergeCell ref="H116:J116"/>
    <mergeCell ref="H87:J87"/>
    <mergeCell ref="H54:J54"/>
    <mergeCell ref="H95:J95"/>
    <mergeCell ref="H98:J98"/>
    <mergeCell ref="H93:J93"/>
    <mergeCell ref="H61:J61"/>
    <mergeCell ref="H65:J65"/>
    <mergeCell ref="H58:J58"/>
    <mergeCell ref="H115:J115"/>
    <mergeCell ref="H107:J107"/>
    <mergeCell ref="H67:J67"/>
    <mergeCell ref="H72:J72"/>
    <mergeCell ref="H59:J59"/>
    <mergeCell ref="H68:J68"/>
    <mergeCell ref="H69:J69"/>
    <mergeCell ref="H71:J71"/>
    <mergeCell ref="H79:J79"/>
    <mergeCell ref="H88:J88"/>
    <mergeCell ref="H42:J42"/>
    <mergeCell ref="H46:J46"/>
    <mergeCell ref="H85:J85"/>
    <mergeCell ref="B97:B98"/>
    <mergeCell ref="B107:B108"/>
    <mergeCell ref="A3:A4"/>
    <mergeCell ref="C3:C4"/>
    <mergeCell ref="B3:B4"/>
    <mergeCell ref="E3:E4"/>
    <mergeCell ref="F3:F4"/>
    <mergeCell ref="G3:G4"/>
    <mergeCell ref="H3:J4"/>
    <mergeCell ref="D3:D4"/>
    <mergeCell ref="H37:J37"/>
    <mergeCell ref="H13:J13"/>
    <mergeCell ref="H16:J16"/>
    <mergeCell ref="H17:J17"/>
    <mergeCell ref="B17:B22"/>
    <mergeCell ref="H14:J14"/>
    <mergeCell ref="H15:J15"/>
    <mergeCell ref="H7:J7"/>
    <mergeCell ref="H9:J9"/>
    <mergeCell ref="H8:J8"/>
    <mergeCell ref="H10:J10"/>
    <mergeCell ref="H12:J12"/>
    <mergeCell ref="H5:J5"/>
    <mergeCell ref="H6:J6"/>
    <mergeCell ref="H170:J170"/>
    <mergeCell ref="H162:J162"/>
    <mergeCell ref="H164:J164"/>
    <mergeCell ref="H168:J168"/>
    <mergeCell ref="H169:J169"/>
    <mergeCell ref="B144:B145"/>
    <mergeCell ref="B117:B118"/>
    <mergeCell ref="H140:J140"/>
    <mergeCell ref="H63:J63"/>
    <mergeCell ref="H66:J66"/>
    <mergeCell ref="H83:J83"/>
    <mergeCell ref="H109:J109"/>
    <mergeCell ref="H101:J101"/>
    <mergeCell ref="H131:J131"/>
    <mergeCell ref="H139:J139"/>
    <mergeCell ref="H84:J84"/>
    <mergeCell ref="H70:J70"/>
    <mergeCell ref="H125:J125"/>
    <mergeCell ref="H130:J130"/>
    <mergeCell ref="H120:J120"/>
    <mergeCell ref="H96:J96"/>
    <mergeCell ref="B64:B65"/>
    <mergeCell ref="B85:B86"/>
    <mergeCell ref="B88:B94"/>
    <mergeCell ref="H150:J150"/>
    <mergeCell ref="H151:J151"/>
    <mergeCell ref="H152:J152"/>
    <mergeCell ref="H154:J154"/>
    <mergeCell ref="H155:J155"/>
    <mergeCell ref="H165:J165"/>
    <mergeCell ref="H167:J167"/>
    <mergeCell ref="B101:B106"/>
    <mergeCell ref="B109:B115"/>
    <mergeCell ref="B120:B121"/>
    <mergeCell ref="B131:B137"/>
    <mergeCell ref="H158:J158"/>
    <mergeCell ref="H159:J159"/>
    <mergeCell ref="H160:J160"/>
    <mergeCell ref="H166:J166"/>
    <mergeCell ref="H142:J142"/>
    <mergeCell ref="H144:J144"/>
    <mergeCell ref="AD173:AF173"/>
    <mergeCell ref="AG173:AI173"/>
    <mergeCell ref="AJ173:AL173"/>
    <mergeCell ref="AM173:AO173"/>
    <mergeCell ref="H178:J178"/>
    <mergeCell ref="H175:J175"/>
    <mergeCell ref="H171:J171"/>
    <mergeCell ref="H163:J163"/>
    <mergeCell ref="H94:J94"/>
    <mergeCell ref="H124:J124"/>
    <mergeCell ref="H172:J172"/>
    <mergeCell ref="H161:J161"/>
    <mergeCell ref="H156:J156"/>
    <mergeCell ref="H147:J147"/>
    <mergeCell ref="H148:J148"/>
    <mergeCell ref="H122:J122"/>
    <mergeCell ref="H119:J119"/>
    <mergeCell ref="H117:J117"/>
    <mergeCell ref="H118:J118"/>
    <mergeCell ref="H97:J97"/>
    <mergeCell ref="H108:J108"/>
    <mergeCell ref="H106:J106"/>
    <mergeCell ref="H149:J149"/>
    <mergeCell ref="H143:J143"/>
    <mergeCell ref="AP173:AR173"/>
    <mergeCell ref="AS173:AU173"/>
    <mergeCell ref="AV173:AX173"/>
    <mergeCell ref="AY173:BA173"/>
    <mergeCell ref="BB173:BD173"/>
    <mergeCell ref="BB176:BD176"/>
    <mergeCell ref="O176:Q176"/>
    <mergeCell ref="R176:T176"/>
    <mergeCell ref="U176:W176"/>
    <mergeCell ref="X176:Z176"/>
    <mergeCell ref="AA176:AC176"/>
    <mergeCell ref="AD176:AF176"/>
    <mergeCell ref="AG176:AI176"/>
    <mergeCell ref="AJ176:AL176"/>
    <mergeCell ref="AM176:AO176"/>
    <mergeCell ref="AP176:AR176"/>
    <mergeCell ref="AS176:AU176"/>
    <mergeCell ref="AV176:AX176"/>
    <mergeCell ref="AY176:BA176"/>
    <mergeCell ref="O173:Q173"/>
    <mergeCell ref="R173:T173"/>
    <mergeCell ref="U173:W173"/>
    <mergeCell ref="X173:Z173"/>
    <mergeCell ref="AA173:AC173"/>
    <mergeCell ref="AP179:AR179"/>
    <mergeCell ref="AS179:AU179"/>
    <mergeCell ref="AV179:AX179"/>
    <mergeCell ref="AY179:BA179"/>
    <mergeCell ref="BB179:BD179"/>
    <mergeCell ref="O179:Q179"/>
    <mergeCell ref="R179:T179"/>
    <mergeCell ref="U179:W179"/>
    <mergeCell ref="X179:Z179"/>
    <mergeCell ref="AA179:AC179"/>
    <mergeCell ref="AD179:AF179"/>
    <mergeCell ref="AG179:AI179"/>
    <mergeCell ref="AJ179:AL179"/>
    <mergeCell ref="AM179:AO179"/>
  </mergeCells>
  <pageMargins left="0.70866141732283472" right="0.70866141732283472" top="0.74803149606299213" bottom="0.74803149606299213" header="0.31496062992125984" footer="0.31496062992125984"/>
  <pageSetup paperSize="8" scale="5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U90"/>
  <sheetViews>
    <sheetView tabSelected="1" view="pageBreakPreview" topLeftCell="A34" zoomScale="70" zoomScaleNormal="70" zoomScaleSheetLayoutView="70" workbookViewId="0">
      <selection activeCell="W94" sqref="W94"/>
    </sheetView>
  </sheetViews>
  <sheetFormatPr defaultRowHeight="14.25" outlineLevelRow="2" x14ac:dyDescent="0.25"/>
  <cols>
    <col min="1" max="1" width="9.140625" style="2"/>
    <col min="2" max="2" width="5.7109375" style="2" customWidth="1"/>
    <col min="3" max="3" width="75.7109375" style="213" customWidth="1"/>
    <col min="4" max="47" width="4.7109375" style="19" customWidth="1"/>
    <col min="48" max="16384" width="9.140625" style="2"/>
  </cols>
  <sheetData>
    <row r="1" spans="2:47" ht="15" x14ac:dyDescent="0.25">
      <c r="B1" s="1"/>
    </row>
    <row r="2" spans="2:47" ht="15" x14ac:dyDescent="0.25">
      <c r="B2" s="1"/>
    </row>
    <row r="3" spans="2:47" ht="15" x14ac:dyDescent="0.25">
      <c r="B3" s="1"/>
    </row>
    <row r="4" spans="2:47" ht="15" x14ac:dyDescent="0.25">
      <c r="B4" s="1"/>
    </row>
    <row r="5" spans="2:47" ht="35.25" x14ac:dyDescent="0.25">
      <c r="B5" s="392" t="s">
        <v>331</v>
      </c>
      <c r="C5" s="392"/>
      <c r="D5" s="392"/>
      <c r="E5" s="392"/>
      <c r="F5" s="392"/>
      <c r="G5" s="392"/>
      <c r="H5" s="392"/>
      <c r="I5" s="392"/>
      <c r="J5" s="392"/>
      <c r="K5" s="392"/>
      <c r="L5" s="392"/>
      <c r="M5" s="392"/>
      <c r="N5" s="392"/>
      <c r="O5" s="392"/>
      <c r="P5" s="392"/>
      <c r="Q5" s="392"/>
      <c r="R5" s="392"/>
      <c r="S5" s="392"/>
      <c r="T5" s="392"/>
      <c r="U5" s="392"/>
      <c r="V5" s="392"/>
      <c r="W5" s="392"/>
      <c r="X5" s="392"/>
      <c r="Y5" s="392"/>
      <c r="Z5" s="392"/>
      <c r="AA5" s="392"/>
      <c r="AB5" s="392"/>
      <c r="AC5" s="392"/>
      <c r="AD5" s="392"/>
      <c r="AE5" s="392"/>
      <c r="AF5" s="392"/>
      <c r="AG5" s="392"/>
      <c r="AH5" s="392"/>
      <c r="AI5" s="392"/>
      <c r="AJ5" s="392"/>
      <c r="AK5" s="392"/>
      <c r="AL5" s="392"/>
      <c r="AM5" s="392"/>
      <c r="AN5" s="392"/>
      <c r="AO5" s="392"/>
      <c r="AP5" s="392"/>
      <c r="AQ5" s="392"/>
      <c r="AR5" s="392"/>
      <c r="AS5" s="392"/>
      <c r="AT5" s="392"/>
      <c r="AU5" s="392"/>
    </row>
    <row r="6" spans="2:47" ht="26.25" x14ac:dyDescent="0.25">
      <c r="B6" s="248"/>
      <c r="C6" s="248"/>
      <c r="D6" s="248"/>
      <c r="E6" s="248"/>
      <c r="F6" s="248"/>
      <c r="G6" s="248"/>
      <c r="H6" s="248"/>
      <c r="I6" s="248"/>
      <c r="J6" s="248"/>
      <c r="K6" s="248"/>
      <c r="L6" s="248"/>
      <c r="M6" s="248"/>
      <c r="N6" s="248"/>
      <c r="O6" s="248"/>
      <c r="P6" s="248"/>
      <c r="Q6" s="248"/>
      <c r="R6" s="248"/>
      <c r="S6" s="248"/>
      <c r="T6" s="248"/>
      <c r="U6" s="248"/>
      <c r="V6" s="248"/>
      <c r="W6" s="248"/>
      <c r="X6" s="248"/>
      <c r="Y6" s="248"/>
      <c r="Z6" s="248"/>
      <c r="AA6" s="248"/>
      <c r="AB6" s="248"/>
      <c r="AC6" s="248"/>
      <c r="AD6" s="248"/>
      <c r="AE6" s="248"/>
      <c r="AF6" s="248"/>
      <c r="AG6" s="248"/>
      <c r="AH6" s="248"/>
      <c r="AI6" s="248"/>
      <c r="AJ6" s="248"/>
      <c r="AK6" s="248"/>
      <c r="AL6" s="248"/>
      <c r="AM6" s="248"/>
      <c r="AN6" s="248"/>
      <c r="AO6" s="248"/>
      <c r="AP6" s="248"/>
      <c r="AQ6" s="248"/>
      <c r="AR6" s="248"/>
      <c r="AS6" s="248"/>
      <c r="AT6" s="248"/>
      <c r="AU6" s="248"/>
    </row>
    <row r="7" spans="2:47" s="250" customFormat="1" ht="16.5" thickBot="1" x14ac:dyDescent="0.3">
      <c r="B7" s="249"/>
      <c r="C7" s="249"/>
      <c r="D7" s="399"/>
      <c r="E7" s="399"/>
      <c r="F7" s="399"/>
      <c r="G7" s="399"/>
      <c r="H7" s="399"/>
      <c r="I7" s="399"/>
      <c r="J7" s="399"/>
      <c r="K7" s="399"/>
      <c r="L7" s="399"/>
      <c r="M7" s="399"/>
      <c r="N7" s="399"/>
      <c r="O7" s="399"/>
      <c r="P7" s="399"/>
      <c r="Q7" s="399"/>
      <c r="R7" s="399"/>
      <c r="S7" s="399"/>
      <c r="T7" s="399"/>
      <c r="U7" s="399"/>
      <c r="V7" s="399"/>
      <c r="W7" s="399"/>
      <c r="X7" s="399"/>
      <c r="Y7" s="399"/>
      <c r="Z7" s="399"/>
      <c r="AA7" s="399"/>
      <c r="AB7" s="399"/>
      <c r="AC7" s="399"/>
      <c r="AD7" s="399"/>
      <c r="AE7" s="399"/>
      <c r="AF7" s="399"/>
      <c r="AG7" s="399"/>
      <c r="AH7" s="399"/>
      <c r="AI7" s="399"/>
      <c r="AJ7" s="399"/>
      <c r="AK7" s="399"/>
      <c r="AL7" s="399"/>
      <c r="AM7" s="399"/>
      <c r="AN7" s="399"/>
      <c r="AO7" s="399"/>
      <c r="AP7" s="399"/>
      <c r="AQ7" s="399"/>
      <c r="AR7" s="399"/>
      <c r="AS7" s="399"/>
      <c r="AT7" s="399"/>
      <c r="AU7" s="399"/>
    </row>
    <row r="8" spans="2:47" s="216" customFormat="1" ht="30" customHeight="1" x14ac:dyDescent="0.25">
      <c r="B8" s="395" t="s">
        <v>0</v>
      </c>
      <c r="C8" s="397" t="s">
        <v>268</v>
      </c>
      <c r="D8" s="400">
        <v>2012</v>
      </c>
      <c r="E8" s="401"/>
      <c r="F8" s="401"/>
      <c r="G8" s="401"/>
      <c r="H8" s="401"/>
      <c r="I8" s="401"/>
      <c r="J8" s="401"/>
      <c r="K8" s="402"/>
      <c r="L8" s="400">
        <v>2013</v>
      </c>
      <c r="M8" s="401"/>
      <c r="N8" s="401"/>
      <c r="O8" s="401"/>
      <c r="P8" s="401"/>
      <c r="Q8" s="401"/>
      <c r="R8" s="401"/>
      <c r="S8" s="401"/>
      <c r="T8" s="401"/>
      <c r="U8" s="401"/>
      <c r="V8" s="401"/>
      <c r="W8" s="402"/>
      <c r="X8" s="400">
        <v>2014</v>
      </c>
      <c r="Y8" s="401"/>
      <c r="Z8" s="401"/>
      <c r="AA8" s="401"/>
      <c r="AB8" s="401"/>
      <c r="AC8" s="401"/>
      <c r="AD8" s="401"/>
      <c r="AE8" s="401"/>
      <c r="AF8" s="401"/>
      <c r="AG8" s="401"/>
      <c r="AH8" s="401"/>
      <c r="AI8" s="402"/>
      <c r="AJ8" s="400">
        <v>2015</v>
      </c>
      <c r="AK8" s="401"/>
      <c r="AL8" s="401"/>
      <c r="AM8" s="401"/>
      <c r="AN8" s="401"/>
      <c r="AO8" s="401"/>
      <c r="AP8" s="401"/>
      <c r="AQ8" s="401"/>
      <c r="AR8" s="401"/>
      <c r="AS8" s="401"/>
      <c r="AT8" s="401"/>
      <c r="AU8" s="403"/>
    </row>
    <row r="9" spans="2:47" s="237" customFormat="1" ht="55.5" customHeight="1" thickBot="1" x14ac:dyDescent="0.3">
      <c r="B9" s="396"/>
      <c r="C9" s="398"/>
      <c r="D9" s="265" t="s">
        <v>321</v>
      </c>
      <c r="E9" s="266" t="s">
        <v>322</v>
      </c>
      <c r="F9" s="266" t="s">
        <v>323</v>
      </c>
      <c r="G9" s="266" t="s">
        <v>324</v>
      </c>
      <c r="H9" s="266" t="s">
        <v>325</v>
      </c>
      <c r="I9" s="266" t="s">
        <v>326</v>
      </c>
      <c r="J9" s="266" t="s">
        <v>327</v>
      </c>
      <c r="K9" s="267" t="s">
        <v>328</v>
      </c>
      <c r="L9" s="265" t="s">
        <v>319</v>
      </c>
      <c r="M9" s="266" t="s">
        <v>329</v>
      </c>
      <c r="N9" s="266" t="s">
        <v>330</v>
      </c>
      <c r="O9" s="266" t="s">
        <v>320</v>
      </c>
      <c r="P9" s="266" t="s">
        <v>321</v>
      </c>
      <c r="Q9" s="266" t="s">
        <v>322</v>
      </c>
      <c r="R9" s="266" t="s">
        <v>323</v>
      </c>
      <c r="S9" s="266" t="s">
        <v>324</v>
      </c>
      <c r="T9" s="266" t="s">
        <v>325</v>
      </c>
      <c r="U9" s="266" t="s">
        <v>326</v>
      </c>
      <c r="V9" s="266" t="s">
        <v>327</v>
      </c>
      <c r="W9" s="267" t="s">
        <v>328</v>
      </c>
      <c r="X9" s="265" t="s">
        <v>319</v>
      </c>
      <c r="Y9" s="266" t="s">
        <v>329</v>
      </c>
      <c r="Z9" s="266" t="s">
        <v>330</v>
      </c>
      <c r="AA9" s="266" t="s">
        <v>320</v>
      </c>
      <c r="AB9" s="266" t="s">
        <v>321</v>
      </c>
      <c r="AC9" s="266" t="s">
        <v>322</v>
      </c>
      <c r="AD9" s="266" t="s">
        <v>323</v>
      </c>
      <c r="AE9" s="266" t="s">
        <v>324</v>
      </c>
      <c r="AF9" s="266" t="s">
        <v>325</v>
      </c>
      <c r="AG9" s="266" t="s">
        <v>326</v>
      </c>
      <c r="AH9" s="266" t="s">
        <v>327</v>
      </c>
      <c r="AI9" s="267" t="s">
        <v>328</v>
      </c>
      <c r="AJ9" s="259" t="s">
        <v>319</v>
      </c>
      <c r="AK9" s="260" t="s">
        <v>329</v>
      </c>
      <c r="AL9" s="260" t="s">
        <v>330</v>
      </c>
      <c r="AM9" s="260" t="s">
        <v>320</v>
      </c>
      <c r="AN9" s="260" t="s">
        <v>321</v>
      </c>
      <c r="AO9" s="260" t="s">
        <v>322</v>
      </c>
      <c r="AP9" s="260" t="s">
        <v>323</v>
      </c>
      <c r="AQ9" s="260" t="s">
        <v>324</v>
      </c>
      <c r="AR9" s="260" t="s">
        <v>325</v>
      </c>
      <c r="AS9" s="260" t="s">
        <v>326</v>
      </c>
      <c r="AT9" s="260" t="s">
        <v>327</v>
      </c>
      <c r="AU9" s="276" t="s">
        <v>328</v>
      </c>
    </row>
    <row r="10" spans="2:47" s="19" customFormat="1" ht="15" customHeight="1" x14ac:dyDescent="0.25">
      <c r="B10" s="247"/>
      <c r="C10" s="251" t="s">
        <v>296</v>
      </c>
      <c r="D10" s="281"/>
      <c r="E10" s="282"/>
      <c r="F10" s="282"/>
      <c r="G10" s="282"/>
      <c r="H10" s="282"/>
      <c r="I10" s="282"/>
      <c r="J10" s="282"/>
      <c r="K10" s="284"/>
      <c r="L10" s="279"/>
      <c r="M10" s="269"/>
      <c r="N10" s="269"/>
      <c r="O10" s="269"/>
      <c r="P10" s="269"/>
      <c r="Q10" s="269"/>
      <c r="R10" s="269"/>
      <c r="S10" s="269"/>
      <c r="T10" s="269"/>
      <c r="U10" s="269"/>
      <c r="V10" s="269"/>
      <c r="W10" s="272"/>
      <c r="X10" s="268"/>
      <c r="Y10" s="269"/>
      <c r="Z10" s="269"/>
      <c r="AA10" s="269"/>
      <c r="AB10" s="269"/>
      <c r="AC10" s="269"/>
      <c r="AD10" s="269"/>
      <c r="AE10" s="269"/>
      <c r="AF10" s="269"/>
      <c r="AG10" s="269"/>
      <c r="AH10" s="269"/>
      <c r="AI10" s="272"/>
      <c r="AJ10" s="228"/>
      <c r="AK10" s="224"/>
      <c r="AL10" s="224"/>
      <c r="AM10" s="224"/>
      <c r="AN10" s="224"/>
      <c r="AO10" s="224"/>
      <c r="AP10" s="224"/>
      <c r="AQ10" s="224"/>
      <c r="AR10" s="224"/>
      <c r="AS10" s="224"/>
      <c r="AT10" s="224"/>
      <c r="AU10" s="275"/>
    </row>
    <row r="11" spans="2:47" s="19" customFormat="1" ht="15.75" customHeight="1" outlineLevel="1" x14ac:dyDescent="0.25">
      <c r="B11" s="225"/>
      <c r="C11" s="252" t="s">
        <v>345</v>
      </c>
      <c r="D11" s="229"/>
      <c r="E11" s="17"/>
      <c r="F11" s="17"/>
      <c r="G11" s="220"/>
      <c r="H11" s="17"/>
      <c r="I11" s="17"/>
      <c r="J11" s="17"/>
      <c r="K11" s="217"/>
      <c r="L11" s="135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238"/>
      <c r="X11" s="229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238"/>
      <c r="AJ11" s="229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217"/>
    </row>
    <row r="12" spans="2:47" s="19" customFormat="1" ht="15.75" customHeight="1" outlineLevel="1" x14ac:dyDescent="0.25">
      <c r="B12" s="225"/>
      <c r="C12" s="252" t="s">
        <v>343</v>
      </c>
      <c r="D12" s="229"/>
      <c r="E12" s="17"/>
      <c r="F12" s="17"/>
      <c r="G12" s="220"/>
      <c r="H12" s="17"/>
      <c r="I12" s="17"/>
      <c r="J12" s="17"/>
      <c r="K12" s="217"/>
      <c r="L12" s="135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238"/>
      <c r="X12" s="229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238"/>
      <c r="AJ12" s="229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217"/>
    </row>
    <row r="13" spans="2:47" s="19" customFormat="1" ht="15.75" customHeight="1" outlineLevel="1" x14ac:dyDescent="0.25">
      <c r="B13" s="225"/>
      <c r="C13" s="252" t="s">
        <v>341</v>
      </c>
      <c r="D13" s="229"/>
      <c r="E13" s="17"/>
      <c r="F13" s="17"/>
      <c r="G13" s="17"/>
      <c r="H13" s="220"/>
      <c r="I13" s="17"/>
      <c r="J13" s="17"/>
      <c r="K13" s="217"/>
      <c r="L13" s="135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238"/>
      <c r="X13" s="229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238"/>
      <c r="AJ13" s="229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217"/>
    </row>
    <row r="14" spans="2:47" s="19" customFormat="1" ht="15.75" customHeight="1" outlineLevel="1" x14ac:dyDescent="0.25">
      <c r="B14" s="225"/>
      <c r="C14" s="252" t="s">
        <v>342</v>
      </c>
      <c r="D14" s="229"/>
      <c r="E14" s="17"/>
      <c r="F14" s="17"/>
      <c r="G14" s="17"/>
      <c r="H14" s="220"/>
      <c r="I14" s="17"/>
      <c r="J14" s="17"/>
      <c r="K14" s="217"/>
      <c r="L14" s="135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238"/>
      <c r="X14" s="229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238"/>
      <c r="AJ14" s="229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217"/>
    </row>
    <row r="15" spans="2:47" s="19" customFormat="1" ht="15.75" customHeight="1" outlineLevel="1" x14ac:dyDescent="0.25">
      <c r="B15" s="225"/>
      <c r="C15" s="252" t="s">
        <v>344</v>
      </c>
      <c r="D15" s="229"/>
      <c r="E15" s="17"/>
      <c r="F15" s="17"/>
      <c r="G15" s="17"/>
      <c r="H15" s="220"/>
      <c r="I15" s="17"/>
      <c r="J15" s="17"/>
      <c r="K15" s="217"/>
      <c r="L15" s="135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238"/>
      <c r="X15" s="229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238"/>
      <c r="AJ15" s="229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217"/>
    </row>
    <row r="16" spans="2:47" s="19" customFormat="1" ht="15.75" customHeight="1" outlineLevel="1" x14ac:dyDescent="0.25">
      <c r="B16" s="225"/>
      <c r="C16" s="252" t="s">
        <v>346</v>
      </c>
      <c r="D16" s="229"/>
      <c r="E16" s="17"/>
      <c r="F16" s="17"/>
      <c r="G16" s="17"/>
      <c r="H16" s="17"/>
      <c r="I16" s="220"/>
      <c r="J16" s="17"/>
      <c r="K16" s="217"/>
      <c r="L16" s="135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238"/>
      <c r="X16" s="229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238"/>
      <c r="AJ16" s="229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217"/>
    </row>
    <row r="17" spans="2:47" s="19" customFormat="1" ht="30" customHeight="1" outlineLevel="1" x14ac:dyDescent="0.25">
      <c r="B17" s="225"/>
      <c r="C17" s="252" t="s">
        <v>347</v>
      </c>
      <c r="D17" s="229"/>
      <c r="E17" s="17"/>
      <c r="F17" s="17"/>
      <c r="G17" s="17"/>
      <c r="H17" s="17"/>
      <c r="I17" s="220"/>
      <c r="J17" s="17"/>
      <c r="K17" s="217"/>
      <c r="L17" s="135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238"/>
      <c r="X17" s="229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238"/>
      <c r="AJ17" s="229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217"/>
    </row>
    <row r="18" spans="2:47" s="19" customFormat="1" ht="15.75" customHeight="1" outlineLevel="1" x14ac:dyDescent="0.25">
      <c r="B18" s="225"/>
      <c r="C18" s="252" t="s">
        <v>348</v>
      </c>
      <c r="D18" s="229"/>
      <c r="E18" s="17"/>
      <c r="F18" s="17"/>
      <c r="G18" s="17"/>
      <c r="H18" s="17"/>
      <c r="I18" s="220"/>
      <c r="J18" s="17"/>
      <c r="K18" s="217"/>
      <c r="L18" s="135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238"/>
      <c r="X18" s="229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238"/>
      <c r="AJ18" s="229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217"/>
    </row>
    <row r="19" spans="2:47" s="19" customFormat="1" ht="30" customHeight="1" outlineLevel="1" x14ac:dyDescent="0.25">
      <c r="B19" s="225"/>
      <c r="C19" s="252" t="s">
        <v>351</v>
      </c>
      <c r="D19" s="229"/>
      <c r="E19" s="17"/>
      <c r="F19" s="17"/>
      <c r="G19" s="17"/>
      <c r="H19" s="17"/>
      <c r="I19" s="17"/>
      <c r="J19" s="220"/>
      <c r="K19" s="217"/>
      <c r="L19" s="135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238"/>
      <c r="X19" s="229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238"/>
      <c r="AJ19" s="229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217"/>
    </row>
    <row r="20" spans="2:47" s="19" customFormat="1" ht="15.75" customHeight="1" outlineLevel="1" x14ac:dyDescent="0.25">
      <c r="B20" s="225"/>
      <c r="C20" s="252" t="s">
        <v>349</v>
      </c>
      <c r="D20" s="229"/>
      <c r="E20" s="17"/>
      <c r="F20" s="17"/>
      <c r="G20" s="17"/>
      <c r="H20" s="17"/>
      <c r="I20" s="17"/>
      <c r="J20" s="220"/>
      <c r="K20" s="217"/>
      <c r="L20" s="135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238"/>
      <c r="X20" s="229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238"/>
      <c r="AJ20" s="229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217"/>
    </row>
    <row r="21" spans="2:47" s="19" customFormat="1" ht="30" customHeight="1" outlineLevel="1" x14ac:dyDescent="0.25">
      <c r="B21" s="225"/>
      <c r="C21" s="252" t="s">
        <v>350</v>
      </c>
      <c r="D21" s="229"/>
      <c r="E21" s="17"/>
      <c r="F21" s="17"/>
      <c r="G21" s="17"/>
      <c r="H21" s="17"/>
      <c r="I21" s="17"/>
      <c r="J21" s="220"/>
      <c r="K21" s="217"/>
      <c r="L21" s="135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238"/>
      <c r="X21" s="229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238"/>
      <c r="AJ21" s="229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217"/>
    </row>
    <row r="22" spans="2:47" s="19" customFormat="1" ht="30" customHeight="1" outlineLevel="1" x14ac:dyDescent="0.25">
      <c r="B22" s="225"/>
      <c r="C22" s="252" t="s">
        <v>352</v>
      </c>
      <c r="D22" s="229"/>
      <c r="E22" s="17"/>
      <c r="F22" s="17"/>
      <c r="G22" s="17"/>
      <c r="H22" s="17"/>
      <c r="I22" s="17"/>
      <c r="J22" s="17"/>
      <c r="K22" s="283"/>
      <c r="L22" s="135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238"/>
      <c r="X22" s="229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238"/>
      <c r="AJ22" s="229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217"/>
    </row>
    <row r="23" spans="2:47" ht="15.75" customHeight="1" x14ac:dyDescent="0.25">
      <c r="B23" s="215"/>
      <c r="C23" s="253" t="s">
        <v>332</v>
      </c>
      <c r="D23" s="232"/>
      <c r="E23" s="223"/>
      <c r="F23" s="17"/>
      <c r="G23" s="17"/>
      <c r="H23" s="17"/>
      <c r="I23" s="17"/>
      <c r="J23" s="17"/>
      <c r="K23" s="217"/>
      <c r="L23" s="135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238"/>
      <c r="X23" s="229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238"/>
      <c r="AJ23" s="229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217"/>
    </row>
    <row r="24" spans="2:47" ht="15.75" customHeight="1" outlineLevel="1" x14ac:dyDescent="0.25">
      <c r="B24" s="226"/>
      <c r="C24" s="254" t="s">
        <v>298</v>
      </c>
      <c r="D24" s="231"/>
      <c r="E24" s="17"/>
      <c r="F24" s="17"/>
      <c r="G24" s="17"/>
      <c r="H24" s="17"/>
      <c r="I24" s="17"/>
      <c r="J24" s="17"/>
      <c r="K24" s="217"/>
      <c r="L24" s="135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238"/>
      <c r="X24" s="229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238"/>
      <c r="AJ24" s="229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217"/>
    </row>
    <row r="25" spans="2:47" ht="15.75" customHeight="1" outlineLevel="1" x14ac:dyDescent="0.25">
      <c r="B25" s="226"/>
      <c r="C25" s="254" t="s">
        <v>297</v>
      </c>
      <c r="D25" s="229"/>
      <c r="E25" s="220"/>
      <c r="F25" s="17"/>
      <c r="G25" s="17"/>
      <c r="H25" s="17"/>
      <c r="I25" s="17"/>
      <c r="J25" s="17"/>
      <c r="K25" s="217"/>
      <c r="L25" s="135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238"/>
      <c r="X25" s="229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238"/>
      <c r="AJ25" s="229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217"/>
    </row>
    <row r="26" spans="2:47" ht="15.75" customHeight="1" x14ac:dyDescent="0.25">
      <c r="B26" s="215"/>
      <c r="C26" s="253" t="s">
        <v>333</v>
      </c>
      <c r="D26" s="232"/>
      <c r="E26" s="223"/>
      <c r="F26" s="223"/>
      <c r="G26" s="223"/>
      <c r="H26" s="223"/>
      <c r="I26" s="223"/>
      <c r="J26" s="223"/>
      <c r="K26" s="217"/>
      <c r="L26" s="135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238"/>
      <c r="X26" s="229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238"/>
      <c r="AJ26" s="229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217"/>
    </row>
    <row r="27" spans="2:47" ht="31.5" customHeight="1" outlineLevel="1" x14ac:dyDescent="0.25">
      <c r="B27" s="226"/>
      <c r="C27" s="254" t="s">
        <v>301</v>
      </c>
      <c r="D27" s="231"/>
      <c r="E27" s="220"/>
      <c r="F27" s="17"/>
      <c r="G27" s="17"/>
      <c r="H27" s="17"/>
      <c r="I27" s="17"/>
      <c r="J27" s="17"/>
      <c r="K27" s="217"/>
      <c r="L27" s="135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238"/>
      <c r="X27" s="229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238"/>
      <c r="AJ27" s="229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217"/>
    </row>
    <row r="28" spans="2:47" ht="15.75" customHeight="1" outlineLevel="1" x14ac:dyDescent="0.25">
      <c r="B28" s="226"/>
      <c r="C28" s="254" t="s">
        <v>299</v>
      </c>
      <c r="D28" s="229"/>
      <c r="E28" s="220"/>
      <c r="F28" s="220"/>
      <c r="G28" s="220"/>
      <c r="H28" s="220"/>
      <c r="I28" s="17"/>
      <c r="J28" s="17"/>
      <c r="K28" s="217"/>
      <c r="L28" s="135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238"/>
      <c r="X28" s="229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238"/>
      <c r="AJ28" s="229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217"/>
    </row>
    <row r="29" spans="2:47" ht="15.75" customHeight="1" outlineLevel="1" x14ac:dyDescent="0.25">
      <c r="B29" s="226"/>
      <c r="C29" s="254" t="s">
        <v>300</v>
      </c>
      <c r="D29" s="229"/>
      <c r="E29" s="17"/>
      <c r="F29" s="17"/>
      <c r="G29" s="220"/>
      <c r="H29" s="220"/>
      <c r="I29" s="17"/>
      <c r="J29" s="17"/>
      <c r="K29" s="217"/>
      <c r="L29" s="135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238"/>
      <c r="X29" s="229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238"/>
      <c r="AJ29" s="229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217"/>
    </row>
    <row r="30" spans="2:47" ht="15.75" customHeight="1" outlineLevel="1" x14ac:dyDescent="0.25">
      <c r="B30" s="226"/>
      <c r="C30" s="254" t="s">
        <v>302</v>
      </c>
      <c r="D30" s="229"/>
      <c r="E30" s="17"/>
      <c r="F30" s="17"/>
      <c r="G30" s="17"/>
      <c r="H30" s="220"/>
      <c r="I30" s="220"/>
      <c r="J30" s="17"/>
      <c r="K30" s="217"/>
      <c r="L30" s="135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238"/>
      <c r="X30" s="229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238"/>
      <c r="AJ30" s="229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217"/>
    </row>
    <row r="31" spans="2:47" ht="15.75" customHeight="1" outlineLevel="1" x14ac:dyDescent="0.25">
      <c r="B31" s="226"/>
      <c r="C31" s="254" t="s">
        <v>303</v>
      </c>
      <c r="D31" s="229"/>
      <c r="E31" s="17"/>
      <c r="F31" s="17"/>
      <c r="G31" s="17"/>
      <c r="H31" s="17"/>
      <c r="I31" s="220"/>
      <c r="J31" s="17"/>
      <c r="K31" s="217"/>
      <c r="L31" s="135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238"/>
      <c r="X31" s="229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238"/>
      <c r="AJ31" s="229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217"/>
    </row>
    <row r="32" spans="2:47" ht="15.75" customHeight="1" outlineLevel="1" x14ac:dyDescent="0.25">
      <c r="B32" s="226"/>
      <c r="C32" s="254" t="s">
        <v>304</v>
      </c>
      <c r="D32" s="229"/>
      <c r="E32" s="17"/>
      <c r="F32" s="17"/>
      <c r="G32" s="17"/>
      <c r="H32" s="17"/>
      <c r="I32" s="220"/>
      <c r="J32" s="220"/>
      <c r="K32" s="217"/>
      <c r="L32" s="135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238"/>
      <c r="X32" s="229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238"/>
      <c r="AJ32" s="229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217"/>
    </row>
    <row r="33" spans="2:47" s="44" customFormat="1" ht="31.5" customHeight="1" x14ac:dyDescent="0.25">
      <c r="B33" s="393" t="s">
        <v>310</v>
      </c>
      <c r="C33" s="394"/>
      <c r="D33" s="230"/>
      <c r="E33" s="40"/>
      <c r="F33" s="40"/>
      <c r="G33" s="40"/>
      <c r="H33" s="40"/>
      <c r="I33" s="40"/>
      <c r="J33" s="40"/>
      <c r="K33" s="218"/>
      <c r="L33" s="47"/>
      <c r="M33" s="40"/>
      <c r="N33" s="40"/>
      <c r="O33" s="40"/>
      <c r="P33" s="40"/>
      <c r="Q33" s="40"/>
      <c r="R33" s="40"/>
      <c r="S33" s="40"/>
      <c r="T33" s="40"/>
      <c r="U33" s="40"/>
      <c r="V33" s="40"/>
      <c r="W33" s="239"/>
      <c r="X33" s="230"/>
      <c r="Y33" s="40"/>
      <c r="Z33" s="40"/>
      <c r="AA33" s="40"/>
      <c r="AB33" s="40"/>
      <c r="AC33" s="40"/>
      <c r="AD33" s="40"/>
      <c r="AE33" s="40"/>
      <c r="AF33" s="40"/>
      <c r="AG33" s="40"/>
      <c r="AH33" s="40"/>
      <c r="AI33" s="239"/>
      <c r="AJ33" s="230"/>
      <c r="AK33" s="40"/>
      <c r="AL33" s="40"/>
      <c r="AM33" s="40"/>
      <c r="AN33" s="40"/>
      <c r="AO33" s="40"/>
      <c r="AP33" s="40"/>
      <c r="AQ33" s="40"/>
      <c r="AR33" s="40"/>
      <c r="AS33" s="40"/>
      <c r="AT33" s="40"/>
      <c r="AU33" s="218"/>
    </row>
    <row r="34" spans="2:47" ht="15.75" customHeight="1" x14ac:dyDescent="0.25">
      <c r="B34" s="215"/>
      <c r="C34" s="253" t="s">
        <v>334</v>
      </c>
      <c r="D34" s="229"/>
      <c r="E34" s="17"/>
      <c r="F34" s="17"/>
      <c r="G34" s="17"/>
      <c r="H34" s="17"/>
      <c r="I34" s="17"/>
      <c r="J34" s="221"/>
      <c r="K34" s="217"/>
      <c r="L34" s="135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238"/>
      <c r="X34" s="229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238"/>
      <c r="AJ34" s="229"/>
      <c r="AK34" s="17"/>
      <c r="AL34" s="17"/>
      <c r="AM34" s="17"/>
      <c r="AN34" s="17"/>
      <c r="AO34" s="17"/>
      <c r="AP34" s="17"/>
      <c r="AQ34" s="17"/>
      <c r="AR34" s="6"/>
      <c r="AS34" s="6"/>
      <c r="AT34" s="6"/>
      <c r="AU34" s="273"/>
    </row>
    <row r="35" spans="2:47" ht="15.75" customHeight="1" x14ac:dyDescent="0.25">
      <c r="B35" s="215"/>
      <c r="C35" s="253" t="s">
        <v>16</v>
      </c>
      <c r="D35" s="229"/>
      <c r="E35" s="17"/>
      <c r="F35" s="17"/>
      <c r="G35" s="17"/>
      <c r="H35" s="17"/>
      <c r="I35" s="17"/>
      <c r="J35" s="17"/>
      <c r="K35" s="270"/>
      <c r="L35" s="262"/>
      <c r="M35" s="223"/>
      <c r="N35" s="223"/>
      <c r="O35" s="223"/>
      <c r="P35" s="223"/>
      <c r="Q35" s="223"/>
      <c r="R35" s="223"/>
      <c r="S35" s="223"/>
      <c r="T35" s="223"/>
      <c r="U35" s="223"/>
      <c r="V35" s="223"/>
      <c r="W35" s="238"/>
      <c r="X35" s="229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238"/>
      <c r="AJ35" s="229"/>
      <c r="AK35" s="17"/>
      <c r="AL35" s="17"/>
      <c r="AM35" s="17"/>
      <c r="AN35" s="17"/>
      <c r="AO35" s="17"/>
      <c r="AP35" s="17"/>
      <c r="AQ35" s="17"/>
      <c r="AR35" s="6"/>
      <c r="AS35" s="6"/>
      <c r="AT35" s="6"/>
      <c r="AU35" s="273"/>
    </row>
    <row r="36" spans="2:47" ht="15.75" customHeight="1" outlineLevel="1" x14ac:dyDescent="0.25">
      <c r="B36" s="226"/>
      <c r="C36" s="254" t="s">
        <v>305</v>
      </c>
      <c r="D36" s="229"/>
      <c r="E36" s="17"/>
      <c r="F36" s="17"/>
      <c r="G36" s="17"/>
      <c r="H36" s="17"/>
      <c r="I36" s="17"/>
      <c r="J36" s="17"/>
      <c r="K36" s="271"/>
      <c r="L36" s="263"/>
      <c r="M36" s="220"/>
      <c r="N36" s="220"/>
      <c r="O36" s="220"/>
      <c r="P36" s="220"/>
      <c r="Q36" s="220"/>
      <c r="R36" s="220"/>
      <c r="S36" s="220"/>
      <c r="T36" s="220"/>
      <c r="U36" s="220"/>
      <c r="V36" s="220"/>
      <c r="W36" s="238"/>
      <c r="X36" s="229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238"/>
      <c r="AJ36" s="229"/>
      <c r="AK36" s="17"/>
      <c r="AL36" s="17"/>
      <c r="AM36" s="17"/>
      <c r="AN36" s="17"/>
      <c r="AO36" s="17"/>
      <c r="AP36" s="17"/>
      <c r="AQ36" s="17"/>
      <c r="AR36" s="6"/>
      <c r="AS36" s="6"/>
      <c r="AT36" s="6"/>
      <c r="AU36" s="273"/>
    </row>
    <row r="37" spans="2:47" ht="15.75" customHeight="1" outlineLevel="1" x14ac:dyDescent="0.25">
      <c r="B37" s="226"/>
      <c r="C37" s="254" t="s">
        <v>306</v>
      </c>
      <c r="D37" s="229"/>
      <c r="E37" s="17"/>
      <c r="F37" s="17"/>
      <c r="G37" s="17"/>
      <c r="H37" s="17"/>
      <c r="I37" s="17"/>
      <c r="J37" s="17"/>
      <c r="K37" s="271"/>
      <c r="L37" s="263"/>
      <c r="M37" s="220"/>
      <c r="N37" s="220"/>
      <c r="O37" s="220"/>
      <c r="P37" s="220"/>
      <c r="Q37" s="220"/>
      <c r="R37" s="220"/>
      <c r="S37" s="17"/>
      <c r="T37" s="17"/>
      <c r="U37" s="17"/>
      <c r="V37" s="17"/>
      <c r="W37" s="238"/>
      <c r="X37" s="229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238"/>
      <c r="AJ37" s="229"/>
      <c r="AK37" s="17"/>
      <c r="AL37" s="17"/>
      <c r="AM37" s="17"/>
      <c r="AN37" s="17"/>
      <c r="AO37" s="17"/>
      <c r="AP37" s="17"/>
      <c r="AQ37" s="17"/>
      <c r="AR37" s="6"/>
      <c r="AS37" s="6"/>
      <c r="AT37" s="6"/>
      <c r="AU37" s="273"/>
    </row>
    <row r="38" spans="2:47" ht="15.75" customHeight="1" outlineLevel="1" x14ac:dyDescent="0.25">
      <c r="B38" s="226"/>
      <c r="C38" s="254" t="s">
        <v>307</v>
      </c>
      <c r="D38" s="229"/>
      <c r="E38" s="17"/>
      <c r="F38" s="17"/>
      <c r="G38" s="17"/>
      <c r="H38" s="17"/>
      <c r="I38" s="17"/>
      <c r="J38" s="17"/>
      <c r="K38" s="217"/>
      <c r="L38" s="135"/>
      <c r="M38" s="17"/>
      <c r="N38" s="17"/>
      <c r="O38" s="220"/>
      <c r="P38" s="220"/>
      <c r="Q38" s="220"/>
      <c r="R38" s="220"/>
      <c r="S38" s="17"/>
      <c r="T38" s="17"/>
      <c r="U38" s="17"/>
      <c r="V38" s="17"/>
      <c r="W38" s="238"/>
      <c r="X38" s="229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238"/>
      <c r="AJ38" s="229"/>
      <c r="AK38" s="17"/>
      <c r="AL38" s="17"/>
      <c r="AM38" s="17"/>
      <c r="AN38" s="17"/>
      <c r="AO38" s="17"/>
      <c r="AP38" s="17"/>
      <c r="AQ38" s="17"/>
      <c r="AR38" s="6"/>
      <c r="AS38" s="6"/>
      <c r="AT38" s="6"/>
      <c r="AU38" s="273"/>
    </row>
    <row r="39" spans="2:47" ht="15.75" customHeight="1" x14ac:dyDescent="0.25">
      <c r="B39" s="215"/>
      <c r="C39" s="253" t="s">
        <v>335</v>
      </c>
      <c r="D39" s="229"/>
      <c r="E39" s="17"/>
      <c r="F39" s="17"/>
      <c r="G39" s="17"/>
      <c r="H39" s="17"/>
      <c r="I39" s="17"/>
      <c r="J39" s="223"/>
      <c r="K39" s="270"/>
      <c r="L39" s="262"/>
      <c r="M39" s="223"/>
      <c r="N39" s="223"/>
      <c r="O39" s="223"/>
      <c r="P39" s="17"/>
      <c r="Q39" s="17"/>
      <c r="R39" s="17"/>
      <c r="S39" s="17"/>
      <c r="T39" s="17"/>
      <c r="U39" s="17"/>
      <c r="V39" s="17"/>
      <c r="W39" s="238"/>
      <c r="X39" s="229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238"/>
      <c r="AJ39" s="229"/>
      <c r="AK39" s="17"/>
      <c r="AL39" s="17"/>
      <c r="AM39" s="17"/>
      <c r="AN39" s="17"/>
      <c r="AO39" s="17"/>
      <c r="AP39" s="17"/>
      <c r="AQ39" s="17"/>
      <c r="AR39" s="6"/>
      <c r="AS39" s="6"/>
      <c r="AT39" s="6"/>
      <c r="AU39" s="273"/>
    </row>
    <row r="40" spans="2:47" ht="15.75" customHeight="1" outlineLevel="1" x14ac:dyDescent="0.25">
      <c r="B40" s="226"/>
      <c r="C40" s="255" t="s">
        <v>316</v>
      </c>
      <c r="D40" s="229"/>
      <c r="E40" s="17"/>
      <c r="F40" s="17"/>
      <c r="G40" s="17"/>
      <c r="H40" s="17"/>
      <c r="I40" s="17"/>
      <c r="J40" s="220"/>
      <c r="K40" s="271"/>
      <c r="L40" s="263"/>
      <c r="M40" s="220"/>
      <c r="N40" s="220"/>
      <c r="O40" s="220"/>
      <c r="P40" s="17"/>
      <c r="Q40" s="17"/>
      <c r="R40" s="17"/>
      <c r="S40" s="17"/>
      <c r="T40" s="17"/>
      <c r="U40" s="17"/>
      <c r="V40" s="17"/>
      <c r="W40" s="238"/>
      <c r="X40" s="229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238"/>
      <c r="AJ40" s="229"/>
      <c r="AK40" s="17"/>
      <c r="AL40" s="17"/>
      <c r="AM40" s="17"/>
      <c r="AN40" s="17"/>
      <c r="AO40" s="17"/>
      <c r="AP40" s="17"/>
      <c r="AQ40" s="17"/>
      <c r="AR40" s="6"/>
      <c r="AS40" s="6"/>
      <c r="AT40" s="6"/>
      <c r="AU40" s="273"/>
    </row>
    <row r="41" spans="2:47" ht="15.75" customHeight="1" outlineLevel="1" x14ac:dyDescent="0.25">
      <c r="B41" s="226"/>
      <c r="C41" s="255" t="s">
        <v>308</v>
      </c>
      <c r="D41" s="229"/>
      <c r="E41" s="17"/>
      <c r="F41" s="17"/>
      <c r="G41" s="17"/>
      <c r="H41" s="17"/>
      <c r="I41" s="17"/>
      <c r="J41" s="17"/>
      <c r="K41" s="271"/>
      <c r="L41" s="263"/>
      <c r="M41" s="220"/>
      <c r="N41" s="17"/>
      <c r="O41" s="17"/>
      <c r="P41" s="17"/>
      <c r="Q41" s="17"/>
      <c r="R41" s="17"/>
      <c r="S41" s="17"/>
      <c r="T41" s="17"/>
      <c r="U41" s="17"/>
      <c r="V41" s="17"/>
      <c r="W41" s="238"/>
      <c r="X41" s="229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238"/>
      <c r="AJ41" s="229"/>
      <c r="AK41" s="17"/>
      <c r="AL41" s="17"/>
      <c r="AM41" s="17"/>
      <c r="AN41" s="17"/>
      <c r="AO41" s="17"/>
      <c r="AP41" s="17"/>
      <c r="AQ41" s="17"/>
      <c r="AR41" s="6"/>
      <c r="AS41" s="6"/>
      <c r="AT41" s="6"/>
      <c r="AU41" s="273"/>
    </row>
    <row r="42" spans="2:47" ht="15.75" customHeight="1" outlineLevel="1" x14ac:dyDescent="0.25">
      <c r="B42" s="226"/>
      <c r="C42" s="255" t="s">
        <v>309</v>
      </c>
      <c r="D42" s="229"/>
      <c r="E42" s="17"/>
      <c r="F42" s="17"/>
      <c r="G42" s="17"/>
      <c r="H42" s="17"/>
      <c r="I42" s="17"/>
      <c r="J42" s="17"/>
      <c r="K42" s="271"/>
      <c r="L42" s="263"/>
      <c r="M42" s="220"/>
      <c r="N42" s="17"/>
      <c r="O42" s="17"/>
      <c r="P42" s="17"/>
      <c r="Q42" s="17"/>
      <c r="R42" s="17"/>
      <c r="S42" s="17"/>
      <c r="T42" s="17"/>
      <c r="U42" s="17"/>
      <c r="V42" s="17"/>
      <c r="W42" s="238"/>
      <c r="X42" s="229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238"/>
      <c r="AJ42" s="229"/>
      <c r="AK42" s="17"/>
      <c r="AL42" s="17"/>
      <c r="AM42" s="17"/>
      <c r="AN42" s="17"/>
      <c r="AO42" s="17"/>
      <c r="AP42" s="17"/>
      <c r="AQ42" s="17"/>
      <c r="AR42" s="6"/>
      <c r="AS42" s="6"/>
      <c r="AT42" s="6"/>
      <c r="AU42" s="273"/>
    </row>
    <row r="43" spans="2:47" ht="15.75" customHeight="1" x14ac:dyDescent="0.25">
      <c r="B43" s="215"/>
      <c r="C43" s="253" t="s">
        <v>336</v>
      </c>
      <c r="D43" s="229"/>
      <c r="E43" s="17"/>
      <c r="F43" s="17"/>
      <c r="G43" s="17"/>
      <c r="H43" s="17"/>
      <c r="I43" s="17"/>
      <c r="J43" s="17"/>
      <c r="K43" s="270"/>
      <c r="L43" s="262"/>
      <c r="M43" s="223"/>
      <c r="N43" s="223"/>
      <c r="O43" s="223"/>
      <c r="P43" s="223"/>
      <c r="Q43" s="223"/>
      <c r="R43" s="223"/>
      <c r="S43" s="17"/>
      <c r="T43" s="17"/>
      <c r="U43" s="17"/>
      <c r="V43" s="17"/>
      <c r="W43" s="238"/>
      <c r="X43" s="229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238"/>
      <c r="AJ43" s="229"/>
      <c r="AK43" s="17"/>
      <c r="AL43" s="17"/>
      <c r="AM43" s="17"/>
      <c r="AN43" s="17"/>
      <c r="AO43" s="17"/>
      <c r="AP43" s="17"/>
      <c r="AQ43" s="17"/>
      <c r="AR43" s="6"/>
      <c r="AS43" s="6"/>
      <c r="AT43" s="6"/>
      <c r="AU43" s="273"/>
    </row>
    <row r="44" spans="2:47" ht="15.75" customHeight="1" outlineLevel="1" x14ac:dyDescent="0.25">
      <c r="B44" s="227"/>
      <c r="C44" s="254" t="s">
        <v>340</v>
      </c>
      <c r="D44" s="229"/>
      <c r="E44" s="17"/>
      <c r="F44" s="17"/>
      <c r="G44" s="17"/>
      <c r="H44" s="17"/>
      <c r="I44" s="17"/>
      <c r="J44" s="17"/>
      <c r="K44" s="271"/>
      <c r="L44" s="263"/>
      <c r="M44" s="220"/>
      <c r="N44" s="220"/>
      <c r="O44" s="220"/>
      <c r="P44" s="220"/>
      <c r="Q44" s="17"/>
      <c r="R44" s="17"/>
      <c r="S44" s="17"/>
      <c r="T44" s="17"/>
      <c r="U44" s="17"/>
      <c r="V44" s="17"/>
      <c r="W44" s="238"/>
      <c r="X44" s="229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238"/>
      <c r="AJ44" s="229"/>
      <c r="AK44" s="17"/>
      <c r="AL44" s="17"/>
      <c r="AM44" s="17"/>
      <c r="AN44" s="17"/>
      <c r="AO44" s="17"/>
      <c r="AP44" s="17"/>
      <c r="AQ44" s="17"/>
      <c r="AR44" s="6"/>
      <c r="AS44" s="6"/>
      <c r="AT44" s="6"/>
      <c r="AU44" s="273"/>
    </row>
    <row r="45" spans="2:47" ht="15.75" customHeight="1" outlineLevel="1" x14ac:dyDescent="0.25">
      <c r="B45" s="226"/>
      <c r="C45" s="254" t="s">
        <v>106</v>
      </c>
      <c r="D45" s="229"/>
      <c r="E45" s="17"/>
      <c r="F45" s="17"/>
      <c r="G45" s="17"/>
      <c r="H45" s="17"/>
      <c r="I45" s="17"/>
      <c r="J45" s="17"/>
      <c r="K45" s="217"/>
      <c r="L45" s="135"/>
      <c r="M45" s="220"/>
      <c r="N45" s="220"/>
      <c r="O45" s="220"/>
      <c r="P45" s="220"/>
      <c r="Q45" s="220"/>
      <c r="R45" s="220"/>
      <c r="S45" s="17"/>
      <c r="T45" s="17"/>
      <c r="U45" s="17"/>
      <c r="V45" s="17"/>
      <c r="W45" s="238"/>
      <c r="X45" s="229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238"/>
      <c r="AJ45" s="229"/>
      <c r="AK45" s="17"/>
      <c r="AL45" s="17"/>
      <c r="AM45" s="17"/>
      <c r="AN45" s="17"/>
      <c r="AO45" s="17"/>
      <c r="AP45" s="17"/>
      <c r="AQ45" s="17"/>
      <c r="AR45" s="6"/>
      <c r="AS45" s="6"/>
      <c r="AT45" s="6"/>
      <c r="AU45" s="273"/>
    </row>
    <row r="46" spans="2:47" s="19" customFormat="1" ht="15.75" customHeight="1" x14ac:dyDescent="0.25">
      <c r="B46" s="215"/>
      <c r="C46" s="253" t="s">
        <v>337</v>
      </c>
      <c r="D46" s="229"/>
      <c r="E46" s="17"/>
      <c r="F46" s="17"/>
      <c r="G46" s="17"/>
      <c r="H46" s="17"/>
      <c r="I46" s="17"/>
      <c r="J46" s="17"/>
      <c r="K46" s="217"/>
      <c r="L46" s="135"/>
      <c r="M46" s="17"/>
      <c r="N46" s="17"/>
      <c r="O46" s="17"/>
      <c r="P46" s="223"/>
      <c r="Q46" s="223"/>
      <c r="R46" s="223"/>
      <c r="S46" s="223"/>
      <c r="T46" s="223"/>
      <c r="U46" s="223"/>
      <c r="V46" s="223"/>
      <c r="W46" s="240"/>
      <c r="X46" s="232"/>
      <c r="Y46" s="223"/>
      <c r="Z46" s="223"/>
      <c r="AA46" s="223"/>
      <c r="AB46" s="223"/>
      <c r="AC46" s="223"/>
      <c r="AD46" s="223"/>
      <c r="AE46" s="223"/>
      <c r="AF46" s="223"/>
      <c r="AG46" s="223"/>
      <c r="AH46" s="223"/>
      <c r="AI46" s="240"/>
      <c r="AJ46" s="232"/>
      <c r="AK46" s="223"/>
      <c r="AL46" s="223"/>
      <c r="AM46" s="223"/>
      <c r="AN46" s="17"/>
      <c r="AO46" s="17"/>
      <c r="AP46" s="17"/>
      <c r="AQ46" s="17"/>
      <c r="AR46" s="17"/>
      <c r="AS46" s="17"/>
      <c r="AT46" s="17"/>
      <c r="AU46" s="217"/>
    </row>
    <row r="47" spans="2:47" s="19" customFormat="1" ht="15.75" customHeight="1" outlineLevel="1" x14ac:dyDescent="0.25">
      <c r="B47" s="225"/>
      <c r="C47" s="256" t="s">
        <v>269</v>
      </c>
      <c r="D47" s="229"/>
      <c r="E47" s="17"/>
      <c r="F47" s="17"/>
      <c r="G47" s="17"/>
      <c r="H47" s="17"/>
      <c r="I47" s="17"/>
      <c r="J47" s="17"/>
      <c r="K47" s="217"/>
      <c r="L47" s="135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238"/>
      <c r="X47" s="229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238"/>
      <c r="AJ47" s="229"/>
      <c r="AK47" s="17"/>
      <c r="AL47" s="17"/>
      <c r="AM47" s="17"/>
      <c r="AN47" s="17"/>
      <c r="AO47" s="17"/>
      <c r="AP47" s="17"/>
      <c r="AQ47" s="17"/>
      <c r="AR47" s="17"/>
      <c r="AS47" s="17"/>
      <c r="AT47" s="17"/>
      <c r="AU47" s="217"/>
    </row>
    <row r="48" spans="2:47" ht="15.75" customHeight="1" outlineLevel="1" x14ac:dyDescent="0.25">
      <c r="B48" s="226"/>
      <c r="C48" s="254" t="s">
        <v>274</v>
      </c>
      <c r="D48" s="229"/>
      <c r="E48" s="17"/>
      <c r="F48" s="17"/>
      <c r="G48" s="17"/>
      <c r="H48" s="17"/>
      <c r="I48" s="17"/>
      <c r="J48" s="17"/>
      <c r="K48" s="217"/>
      <c r="L48" s="135"/>
      <c r="M48" s="17"/>
      <c r="N48" s="17"/>
      <c r="O48" s="17"/>
      <c r="P48" s="220"/>
      <c r="Q48" s="220"/>
      <c r="R48" s="220"/>
      <c r="S48" s="220"/>
      <c r="T48" s="17"/>
      <c r="U48" s="17"/>
      <c r="V48" s="17"/>
      <c r="W48" s="238"/>
      <c r="X48" s="229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238"/>
      <c r="AJ48" s="229"/>
      <c r="AK48" s="17"/>
      <c r="AL48" s="17"/>
      <c r="AM48" s="17"/>
      <c r="AN48" s="17"/>
      <c r="AO48" s="17"/>
      <c r="AP48" s="17"/>
      <c r="AQ48" s="17"/>
      <c r="AR48" s="6"/>
      <c r="AS48" s="6"/>
      <c r="AT48" s="6"/>
      <c r="AU48" s="273"/>
    </row>
    <row r="49" spans="2:47" ht="15.75" customHeight="1" outlineLevel="1" x14ac:dyDescent="0.25">
      <c r="B49" s="226"/>
      <c r="C49" s="254" t="s">
        <v>275</v>
      </c>
      <c r="D49" s="229"/>
      <c r="E49" s="17"/>
      <c r="F49" s="17"/>
      <c r="G49" s="17"/>
      <c r="H49" s="17"/>
      <c r="I49" s="17"/>
      <c r="J49" s="17"/>
      <c r="K49" s="217"/>
      <c r="L49" s="135"/>
      <c r="M49" s="17"/>
      <c r="N49" s="17"/>
      <c r="O49" s="17"/>
      <c r="P49" s="17"/>
      <c r="Q49" s="17"/>
      <c r="R49" s="17"/>
      <c r="S49" s="220"/>
      <c r="T49" s="220"/>
      <c r="U49" s="220"/>
      <c r="V49" s="220"/>
      <c r="W49" s="238"/>
      <c r="X49" s="229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238"/>
      <c r="AJ49" s="229"/>
      <c r="AK49" s="17"/>
      <c r="AL49" s="17"/>
      <c r="AM49" s="17"/>
      <c r="AN49" s="17"/>
      <c r="AO49" s="17"/>
      <c r="AP49" s="17"/>
      <c r="AQ49" s="17"/>
      <c r="AR49" s="17"/>
      <c r="AS49" s="17"/>
      <c r="AT49" s="6"/>
      <c r="AU49" s="273"/>
    </row>
    <row r="50" spans="2:47" ht="15.75" customHeight="1" outlineLevel="1" x14ac:dyDescent="0.25">
      <c r="B50" s="226"/>
      <c r="C50" s="254" t="s">
        <v>318</v>
      </c>
      <c r="D50" s="229"/>
      <c r="E50" s="17"/>
      <c r="F50" s="17"/>
      <c r="G50" s="17"/>
      <c r="H50" s="17"/>
      <c r="I50" s="17"/>
      <c r="J50" s="17"/>
      <c r="K50" s="217"/>
      <c r="L50" s="135"/>
      <c r="M50" s="17"/>
      <c r="N50" s="17"/>
      <c r="O50" s="17"/>
      <c r="P50" s="17"/>
      <c r="Q50" s="17"/>
      <c r="R50" s="17"/>
      <c r="S50" s="17"/>
      <c r="T50" s="17"/>
      <c r="U50" s="17"/>
      <c r="V50" s="220"/>
      <c r="W50" s="243"/>
      <c r="X50" s="231"/>
      <c r="Y50" s="220"/>
      <c r="Z50" s="17"/>
      <c r="AA50" s="17"/>
      <c r="AB50" s="17"/>
      <c r="AC50" s="17"/>
      <c r="AD50" s="17"/>
      <c r="AE50" s="17"/>
      <c r="AF50" s="17"/>
      <c r="AG50" s="17"/>
      <c r="AH50" s="17"/>
      <c r="AI50" s="238"/>
      <c r="AJ50" s="229"/>
      <c r="AK50" s="17"/>
      <c r="AL50" s="17"/>
      <c r="AM50" s="17"/>
      <c r="AN50" s="17"/>
      <c r="AO50" s="17"/>
      <c r="AP50" s="17"/>
      <c r="AQ50" s="17"/>
      <c r="AR50" s="17"/>
      <c r="AS50" s="17"/>
      <c r="AT50" s="6"/>
      <c r="AU50" s="273"/>
    </row>
    <row r="51" spans="2:47" s="214" customFormat="1" ht="15.75" customHeight="1" outlineLevel="1" x14ac:dyDescent="0.25">
      <c r="B51" s="226"/>
      <c r="C51" s="254" t="s">
        <v>317</v>
      </c>
      <c r="D51" s="235"/>
      <c r="E51" s="86"/>
      <c r="F51" s="86"/>
      <c r="G51" s="86"/>
      <c r="H51" s="78"/>
      <c r="I51" s="78"/>
      <c r="J51" s="78"/>
      <c r="K51" s="219"/>
      <c r="L51" s="264"/>
      <c r="M51" s="78"/>
      <c r="N51" s="78"/>
      <c r="O51" s="78"/>
      <c r="P51" s="258"/>
      <c r="Q51" s="258"/>
      <c r="R51" s="78"/>
      <c r="S51" s="78"/>
      <c r="T51" s="78"/>
      <c r="U51" s="78"/>
      <c r="V51" s="78"/>
      <c r="W51" s="241"/>
      <c r="X51" s="246"/>
      <c r="Y51" s="244"/>
      <c r="Z51" s="244"/>
      <c r="AA51" s="244"/>
      <c r="AB51" s="244"/>
      <c r="AC51" s="244"/>
      <c r="AD51" s="244"/>
      <c r="AE51" s="244"/>
      <c r="AF51" s="244"/>
      <c r="AG51" s="244"/>
      <c r="AH51" s="78"/>
      <c r="AI51" s="241"/>
      <c r="AJ51" s="233"/>
      <c r="AK51" s="78"/>
      <c r="AL51" s="78"/>
      <c r="AM51" s="78"/>
      <c r="AN51" s="78"/>
      <c r="AO51" s="78"/>
      <c r="AP51" s="78"/>
      <c r="AQ51" s="78"/>
      <c r="AR51" s="78"/>
      <c r="AS51" s="78"/>
      <c r="AT51" s="258"/>
      <c r="AU51" s="274"/>
    </row>
    <row r="52" spans="2:47" s="82" customFormat="1" ht="15.75" customHeight="1" outlineLevel="1" x14ac:dyDescent="0.25">
      <c r="B52" s="225"/>
      <c r="C52" s="252" t="s">
        <v>294</v>
      </c>
      <c r="D52" s="233"/>
      <c r="E52" s="78"/>
      <c r="F52" s="78"/>
      <c r="G52" s="78"/>
      <c r="H52" s="78"/>
      <c r="I52" s="78"/>
      <c r="J52" s="78"/>
      <c r="K52" s="219"/>
      <c r="L52" s="264"/>
      <c r="M52" s="78"/>
      <c r="N52" s="78"/>
      <c r="O52" s="78"/>
      <c r="P52" s="78"/>
      <c r="Q52" s="78"/>
      <c r="R52" s="78"/>
      <c r="S52" s="78"/>
      <c r="T52" s="78"/>
      <c r="U52" s="78"/>
      <c r="V52" s="78"/>
      <c r="W52" s="241"/>
      <c r="X52" s="233"/>
      <c r="Y52" s="78"/>
      <c r="Z52" s="78"/>
      <c r="AA52" s="78"/>
      <c r="AB52" s="244"/>
      <c r="AC52" s="244"/>
      <c r="AD52" s="244"/>
      <c r="AE52" s="244"/>
      <c r="AF52" s="244"/>
      <c r="AG52" s="244"/>
      <c r="AH52" s="244"/>
      <c r="AI52" s="245"/>
      <c r="AJ52" s="233"/>
      <c r="AK52" s="78"/>
      <c r="AL52" s="78"/>
      <c r="AM52" s="78"/>
      <c r="AN52" s="78"/>
      <c r="AO52" s="78"/>
      <c r="AP52" s="78"/>
      <c r="AQ52" s="78"/>
      <c r="AR52" s="78"/>
      <c r="AS52" s="78"/>
      <c r="AT52" s="78"/>
      <c r="AU52" s="219"/>
    </row>
    <row r="53" spans="2:47" ht="15.75" customHeight="1" outlineLevel="1" x14ac:dyDescent="0.25">
      <c r="B53" s="225"/>
      <c r="C53" s="256" t="s">
        <v>270</v>
      </c>
      <c r="D53" s="229"/>
      <c r="E53" s="17"/>
      <c r="F53" s="17"/>
      <c r="G53" s="17"/>
      <c r="H53" s="17"/>
      <c r="I53" s="17"/>
      <c r="J53" s="17"/>
      <c r="K53" s="217"/>
      <c r="L53" s="135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238"/>
      <c r="X53" s="229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238"/>
      <c r="AJ53" s="229"/>
      <c r="AK53" s="17"/>
      <c r="AL53" s="17"/>
      <c r="AM53" s="17"/>
      <c r="AN53" s="17"/>
      <c r="AO53" s="17"/>
      <c r="AP53" s="17"/>
      <c r="AQ53" s="17"/>
      <c r="AR53" s="17"/>
      <c r="AS53" s="17"/>
      <c r="AT53" s="6"/>
      <c r="AU53" s="273"/>
    </row>
    <row r="54" spans="2:47" ht="15.75" customHeight="1" outlineLevel="1" x14ac:dyDescent="0.25">
      <c r="B54" s="226"/>
      <c r="C54" s="254" t="s">
        <v>276</v>
      </c>
      <c r="D54" s="229"/>
      <c r="E54" s="17"/>
      <c r="F54" s="17"/>
      <c r="G54" s="17"/>
      <c r="H54" s="17"/>
      <c r="I54" s="17"/>
      <c r="J54" s="17"/>
      <c r="K54" s="217"/>
      <c r="L54" s="135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238"/>
      <c r="X54" s="229"/>
      <c r="Y54" s="17"/>
      <c r="Z54" s="17"/>
      <c r="AA54" s="17"/>
      <c r="AB54" s="17"/>
      <c r="AC54" s="17"/>
      <c r="AD54" s="220"/>
      <c r="AE54" s="220"/>
      <c r="AF54" s="220"/>
      <c r="AG54" s="220"/>
      <c r="AH54" s="220"/>
      <c r="AI54" s="243"/>
      <c r="AJ54" s="231"/>
      <c r="AK54" s="220"/>
      <c r="AL54" s="17"/>
      <c r="AM54" s="17"/>
      <c r="AN54" s="17"/>
      <c r="AO54" s="17"/>
      <c r="AP54" s="17"/>
      <c r="AQ54" s="17"/>
      <c r="AR54" s="17"/>
      <c r="AS54" s="17"/>
      <c r="AT54" s="6"/>
      <c r="AU54" s="273"/>
    </row>
    <row r="55" spans="2:47" ht="15.75" customHeight="1" outlineLevel="1" x14ac:dyDescent="0.25">
      <c r="B55" s="225"/>
      <c r="C55" s="252" t="s">
        <v>277</v>
      </c>
      <c r="D55" s="229"/>
      <c r="E55" s="17"/>
      <c r="F55" s="17"/>
      <c r="G55" s="17"/>
      <c r="H55" s="17"/>
      <c r="I55" s="17"/>
      <c r="J55" s="17"/>
      <c r="K55" s="217"/>
      <c r="L55" s="135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238"/>
      <c r="X55" s="229"/>
      <c r="Y55" s="17"/>
      <c r="Z55" s="17"/>
      <c r="AA55" s="17"/>
      <c r="AB55" s="17"/>
      <c r="AC55" s="17"/>
      <c r="AD55" s="17"/>
      <c r="AE55" s="17"/>
      <c r="AF55" s="17"/>
      <c r="AG55" s="17"/>
      <c r="AH55" s="220"/>
      <c r="AI55" s="243"/>
      <c r="AJ55" s="229"/>
      <c r="AK55" s="17"/>
      <c r="AL55" s="17"/>
      <c r="AM55" s="17"/>
      <c r="AN55" s="17"/>
      <c r="AO55" s="17"/>
      <c r="AP55" s="17"/>
      <c r="AQ55" s="17"/>
      <c r="AR55" s="17"/>
      <c r="AS55" s="17"/>
      <c r="AT55" s="6"/>
      <c r="AU55" s="273"/>
    </row>
    <row r="56" spans="2:47" ht="15.75" customHeight="1" outlineLevel="1" x14ac:dyDescent="0.25">
      <c r="B56" s="225"/>
      <c r="C56" s="252" t="s">
        <v>278</v>
      </c>
      <c r="D56" s="229"/>
      <c r="E56" s="17"/>
      <c r="F56" s="17"/>
      <c r="G56" s="17"/>
      <c r="H56" s="17"/>
      <c r="I56" s="17"/>
      <c r="J56" s="17"/>
      <c r="K56" s="217"/>
      <c r="L56" s="135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238"/>
      <c r="X56" s="229"/>
      <c r="Y56" s="17"/>
      <c r="Z56" s="17"/>
      <c r="AA56" s="17"/>
      <c r="AB56" s="17"/>
      <c r="AC56" s="17"/>
      <c r="AD56" s="17"/>
      <c r="AE56" s="17"/>
      <c r="AF56" s="17"/>
      <c r="AG56" s="17"/>
      <c r="AH56" s="220"/>
      <c r="AI56" s="243"/>
      <c r="AJ56" s="231"/>
      <c r="AK56" s="220"/>
      <c r="AL56" s="17"/>
      <c r="AM56" s="17"/>
      <c r="AN56" s="17"/>
      <c r="AO56" s="17"/>
      <c r="AP56" s="17"/>
      <c r="AQ56" s="17"/>
      <c r="AR56" s="17"/>
      <c r="AS56" s="17"/>
      <c r="AT56" s="6"/>
      <c r="AU56" s="273"/>
    </row>
    <row r="57" spans="2:47" ht="15.75" customHeight="1" outlineLevel="1" x14ac:dyDescent="0.25">
      <c r="B57" s="225"/>
      <c r="C57" s="256" t="s">
        <v>295</v>
      </c>
      <c r="D57" s="229"/>
      <c r="E57" s="17"/>
      <c r="F57" s="17"/>
      <c r="G57" s="17"/>
      <c r="H57" s="17"/>
      <c r="I57" s="17"/>
      <c r="J57" s="17"/>
      <c r="K57" s="217"/>
      <c r="L57" s="135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238"/>
      <c r="X57" s="229"/>
      <c r="Y57" s="17"/>
      <c r="Z57" s="17"/>
      <c r="AA57" s="17"/>
      <c r="AB57" s="220"/>
      <c r="AC57" s="220"/>
      <c r="AD57" s="220"/>
      <c r="AE57" s="220"/>
      <c r="AF57" s="220"/>
      <c r="AG57" s="220"/>
      <c r="AH57" s="220"/>
      <c r="AI57" s="243"/>
      <c r="AJ57" s="231"/>
      <c r="AK57" s="220"/>
      <c r="AL57" s="220"/>
      <c r="AM57" s="220"/>
      <c r="AN57" s="17"/>
      <c r="AO57" s="17"/>
      <c r="AP57" s="17"/>
      <c r="AQ57" s="17"/>
      <c r="AR57" s="17"/>
      <c r="AS57" s="17"/>
      <c r="AT57" s="6"/>
      <c r="AU57" s="273"/>
    </row>
    <row r="58" spans="2:47" s="19" customFormat="1" ht="15.75" hidden="1" customHeight="1" outlineLevel="2" x14ac:dyDescent="0.25">
      <c r="B58" s="225"/>
      <c r="C58" s="252" t="s">
        <v>287</v>
      </c>
      <c r="D58" s="229"/>
      <c r="E58" s="17"/>
      <c r="F58" s="17"/>
      <c r="G58" s="17"/>
      <c r="H58" s="17"/>
      <c r="I58" s="17"/>
      <c r="J58" s="17"/>
      <c r="K58" s="217"/>
      <c r="L58" s="135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238"/>
      <c r="X58" s="229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238"/>
      <c r="AJ58" s="229"/>
      <c r="AK58" s="17"/>
      <c r="AL58" s="17"/>
      <c r="AM58" s="17"/>
      <c r="AN58" s="17"/>
      <c r="AO58" s="17"/>
      <c r="AP58" s="17"/>
      <c r="AQ58" s="17"/>
      <c r="AR58" s="17"/>
      <c r="AS58" s="17"/>
      <c r="AT58" s="17"/>
      <c r="AU58" s="217"/>
    </row>
    <row r="59" spans="2:47" s="19" customFormat="1" ht="15.75" hidden="1" customHeight="1" outlineLevel="2" x14ac:dyDescent="0.25">
      <c r="B59" s="225"/>
      <c r="C59" s="252" t="s">
        <v>288</v>
      </c>
      <c r="D59" s="229"/>
      <c r="E59" s="17"/>
      <c r="F59" s="17"/>
      <c r="G59" s="17"/>
      <c r="H59" s="17"/>
      <c r="I59" s="17"/>
      <c r="J59" s="17"/>
      <c r="K59" s="217"/>
      <c r="L59" s="135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238"/>
      <c r="X59" s="229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238"/>
      <c r="AJ59" s="229"/>
      <c r="AK59" s="17"/>
      <c r="AL59" s="17"/>
      <c r="AM59" s="17"/>
      <c r="AN59" s="17"/>
      <c r="AO59" s="17"/>
      <c r="AP59" s="17"/>
      <c r="AQ59" s="17"/>
      <c r="AR59" s="17"/>
      <c r="AS59" s="17"/>
      <c r="AT59" s="17"/>
      <c r="AU59" s="217"/>
    </row>
    <row r="60" spans="2:47" s="19" customFormat="1" ht="15.75" hidden="1" customHeight="1" outlineLevel="2" x14ac:dyDescent="0.25">
      <c r="B60" s="225"/>
      <c r="C60" s="252" t="s">
        <v>289</v>
      </c>
      <c r="D60" s="229"/>
      <c r="E60" s="17"/>
      <c r="F60" s="17"/>
      <c r="G60" s="17"/>
      <c r="H60" s="17"/>
      <c r="I60" s="17"/>
      <c r="J60" s="17"/>
      <c r="K60" s="217"/>
      <c r="L60" s="135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238"/>
      <c r="X60" s="229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238"/>
      <c r="AJ60" s="229"/>
      <c r="AK60" s="17"/>
      <c r="AL60" s="17"/>
      <c r="AM60" s="17"/>
      <c r="AN60" s="17"/>
      <c r="AO60" s="17"/>
      <c r="AP60" s="17"/>
      <c r="AQ60" s="17"/>
      <c r="AR60" s="17"/>
      <c r="AS60" s="17"/>
      <c r="AT60" s="17"/>
      <c r="AU60" s="217"/>
    </row>
    <row r="61" spans="2:47" s="19" customFormat="1" ht="15.75" hidden="1" customHeight="1" outlineLevel="2" x14ac:dyDescent="0.25">
      <c r="B61" s="225"/>
      <c r="C61" s="252" t="s">
        <v>290</v>
      </c>
      <c r="D61" s="229"/>
      <c r="E61" s="17"/>
      <c r="F61" s="17"/>
      <c r="G61" s="17"/>
      <c r="H61" s="17"/>
      <c r="I61" s="17"/>
      <c r="J61" s="17"/>
      <c r="K61" s="217"/>
      <c r="L61" s="135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238"/>
      <c r="X61" s="229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238"/>
      <c r="AJ61" s="229"/>
      <c r="AK61" s="17"/>
      <c r="AL61" s="17"/>
      <c r="AM61" s="17"/>
      <c r="AN61" s="17"/>
      <c r="AO61" s="17"/>
      <c r="AP61" s="17"/>
      <c r="AQ61" s="17"/>
      <c r="AR61" s="17"/>
      <c r="AS61" s="17"/>
      <c r="AT61" s="17"/>
      <c r="AU61" s="217"/>
    </row>
    <row r="62" spans="2:47" s="19" customFormat="1" ht="15.75" hidden="1" customHeight="1" outlineLevel="2" x14ac:dyDescent="0.25">
      <c r="B62" s="225"/>
      <c r="C62" s="252" t="s">
        <v>291</v>
      </c>
      <c r="D62" s="229"/>
      <c r="E62" s="17"/>
      <c r="F62" s="17"/>
      <c r="G62" s="17"/>
      <c r="H62" s="17"/>
      <c r="I62" s="17"/>
      <c r="J62" s="17"/>
      <c r="K62" s="217"/>
      <c r="L62" s="135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238"/>
      <c r="X62" s="229"/>
      <c r="Y62" s="17"/>
      <c r="Z62" s="17"/>
      <c r="AA62" s="17"/>
      <c r="AB62" s="17"/>
      <c r="AC62" s="17"/>
      <c r="AD62" s="17"/>
      <c r="AE62" s="17"/>
      <c r="AF62" s="17"/>
      <c r="AG62" s="17"/>
      <c r="AH62" s="17"/>
      <c r="AI62" s="238"/>
      <c r="AJ62" s="229"/>
      <c r="AK62" s="17"/>
      <c r="AL62" s="17"/>
      <c r="AM62" s="17"/>
      <c r="AN62" s="17"/>
      <c r="AO62" s="17"/>
      <c r="AP62" s="17"/>
      <c r="AQ62" s="17"/>
      <c r="AR62" s="17"/>
      <c r="AS62" s="17"/>
      <c r="AT62" s="17"/>
      <c r="AU62" s="217"/>
    </row>
    <row r="63" spans="2:47" s="19" customFormat="1" ht="15.75" hidden="1" customHeight="1" outlineLevel="2" x14ac:dyDescent="0.25">
      <c r="B63" s="225"/>
      <c r="C63" s="252" t="s">
        <v>281</v>
      </c>
      <c r="D63" s="229"/>
      <c r="E63" s="17"/>
      <c r="F63" s="17"/>
      <c r="G63" s="17"/>
      <c r="H63" s="17"/>
      <c r="I63" s="17"/>
      <c r="J63" s="17"/>
      <c r="K63" s="217"/>
      <c r="L63" s="135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238"/>
      <c r="X63" s="229"/>
      <c r="Y63" s="17"/>
      <c r="Z63" s="17"/>
      <c r="AA63" s="17"/>
      <c r="AB63" s="17"/>
      <c r="AC63" s="17"/>
      <c r="AD63" s="17"/>
      <c r="AE63" s="17"/>
      <c r="AF63" s="17"/>
      <c r="AG63" s="17"/>
      <c r="AH63" s="17"/>
      <c r="AI63" s="238"/>
      <c r="AJ63" s="229"/>
      <c r="AK63" s="17"/>
      <c r="AL63" s="17"/>
      <c r="AM63" s="17"/>
      <c r="AN63" s="17"/>
      <c r="AO63" s="17"/>
      <c r="AP63" s="17"/>
      <c r="AQ63" s="17"/>
      <c r="AR63" s="17"/>
      <c r="AS63" s="17"/>
      <c r="AT63" s="17"/>
      <c r="AU63" s="217"/>
    </row>
    <row r="64" spans="2:47" ht="15.75" customHeight="1" outlineLevel="1" collapsed="1" x14ac:dyDescent="0.25">
      <c r="B64" s="225"/>
      <c r="C64" s="256" t="s">
        <v>271</v>
      </c>
      <c r="D64" s="229"/>
      <c r="E64" s="17"/>
      <c r="F64" s="17"/>
      <c r="G64" s="17"/>
      <c r="H64" s="17"/>
      <c r="I64" s="17"/>
      <c r="J64" s="17"/>
      <c r="K64" s="217"/>
      <c r="L64" s="135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238"/>
      <c r="X64" s="229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238"/>
      <c r="AJ64" s="229"/>
      <c r="AK64" s="17"/>
      <c r="AL64" s="17"/>
      <c r="AM64" s="17"/>
      <c r="AN64" s="17"/>
      <c r="AO64" s="17"/>
      <c r="AP64" s="17"/>
      <c r="AQ64" s="17"/>
      <c r="AR64" s="17"/>
      <c r="AS64" s="17"/>
      <c r="AT64" s="6"/>
      <c r="AU64" s="273"/>
    </row>
    <row r="65" spans="2:47" ht="15.75" customHeight="1" outlineLevel="1" x14ac:dyDescent="0.25">
      <c r="B65" s="225"/>
      <c r="C65" s="252" t="s">
        <v>273</v>
      </c>
      <c r="D65" s="229"/>
      <c r="E65" s="17"/>
      <c r="F65" s="17"/>
      <c r="G65" s="17"/>
      <c r="H65" s="17"/>
      <c r="I65" s="17"/>
      <c r="J65" s="17"/>
      <c r="K65" s="217"/>
      <c r="L65" s="135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238"/>
      <c r="X65" s="229"/>
      <c r="Y65" s="17"/>
      <c r="Z65" s="17"/>
      <c r="AA65" s="17"/>
      <c r="AB65" s="17"/>
      <c r="AC65" s="17"/>
      <c r="AD65" s="17"/>
      <c r="AE65" s="17"/>
      <c r="AF65" s="220"/>
      <c r="AG65" s="220"/>
      <c r="AH65" s="220"/>
      <c r="AI65" s="243"/>
      <c r="AJ65" s="231"/>
      <c r="AK65" s="220"/>
      <c r="AL65" s="17"/>
      <c r="AM65" s="17"/>
      <c r="AN65" s="17"/>
      <c r="AO65" s="17"/>
      <c r="AP65" s="17"/>
      <c r="AQ65" s="17"/>
      <c r="AR65" s="17"/>
      <c r="AS65" s="17"/>
      <c r="AT65" s="6"/>
      <c r="AU65" s="273"/>
    </row>
    <row r="66" spans="2:47" ht="15.75" customHeight="1" outlineLevel="1" x14ac:dyDescent="0.25">
      <c r="B66" s="225"/>
      <c r="C66" s="256" t="s">
        <v>272</v>
      </c>
      <c r="D66" s="229"/>
      <c r="E66" s="17"/>
      <c r="F66" s="17"/>
      <c r="G66" s="17"/>
      <c r="H66" s="17"/>
      <c r="I66" s="17"/>
      <c r="J66" s="17"/>
      <c r="K66" s="217"/>
      <c r="L66" s="135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238"/>
      <c r="X66" s="229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238"/>
      <c r="AJ66" s="229"/>
      <c r="AK66" s="17"/>
      <c r="AL66" s="17"/>
      <c r="AM66" s="17"/>
      <c r="AN66" s="17"/>
      <c r="AO66" s="17"/>
      <c r="AP66" s="17"/>
      <c r="AQ66" s="17"/>
      <c r="AR66" s="17"/>
      <c r="AS66" s="17"/>
      <c r="AT66" s="6"/>
      <c r="AU66" s="273"/>
    </row>
    <row r="67" spans="2:47" ht="15.75" customHeight="1" outlineLevel="1" x14ac:dyDescent="0.25">
      <c r="B67" s="225"/>
      <c r="C67" s="252" t="s">
        <v>292</v>
      </c>
      <c r="D67" s="229"/>
      <c r="E67" s="17"/>
      <c r="F67" s="17"/>
      <c r="G67" s="17"/>
      <c r="H67" s="17"/>
      <c r="I67" s="17"/>
      <c r="J67" s="17"/>
      <c r="K67" s="217"/>
      <c r="L67" s="135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238"/>
      <c r="X67" s="229"/>
      <c r="Y67" s="17"/>
      <c r="Z67" s="17"/>
      <c r="AA67" s="17"/>
      <c r="AB67" s="17"/>
      <c r="AC67" s="17"/>
      <c r="AD67" s="17"/>
      <c r="AE67" s="17"/>
      <c r="AF67" s="17"/>
      <c r="AG67" s="17"/>
      <c r="AH67" s="220"/>
      <c r="AI67" s="243"/>
      <c r="AJ67" s="231"/>
      <c r="AK67" s="220"/>
      <c r="AL67" s="220"/>
      <c r="AM67" s="220"/>
      <c r="AN67" s="17"/>
      <c r="AO67" s="17"/>
      <c r="AP67" s="17"/>
      <c r="AQ67" s="17"/>
      <c r="AR67" s="17"/>
      <c r="AS67" s="17"/>
      <c r="AT67" s="6"/>
      <c r="AU67" s="273"/>
    </row>
    <row r="68" spans="2:47" ht="15.75" customHeight="1" outlineLevel="1" x14ac:dyDescent="0.25">
      <c r="B68" s="225"/>
      <c r="C68" s="252" t="s">
        <v>293</v>
      </c>
      <c r="D68" s="229"/>
      <c r="E68" s="17"/>
      <c r="F68" s="17"/>
      <c r="G68" s="17"/>
      <c r="H68" s="17"/>
      <c r="I68" s="17"/>
      <c r="J68" s="17"/>
      <c r="K68" s="217"/>
      <c r="L68" s="135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238"/>
      <c r="X68" s="229"/>
      <c r="Y68" s="17"/>
      <c r="Z68" s="17"/>
      <c r="AA68" s="17"/>
      <c r="AB68" s="17"/>
      <c r="AC68" s="17"/>
      <c r="AD68" s="17"/>
      <c r="AE68" s="17"/>
      <c r="AF68" s="17"/>
      <c r="AG68" s="17"/>
      <c r="AH68" s="17"/>
      <c r="AI68" s="238"/>
      <c r="AJ68" s="229"/>
      <c r="AK68" s="17"/>
      <c r="AL68" s="220"/>
      <c r="AM68" s="220"/>
      <c r="AN68" s="17"/>
      <c r="AO68" s="17"/>
      <c r="AP68" s="17"/>
      <c r="AQ68" s="17"/>
      <c r="AR68" s="17"/>
      <c r="AS68" s="17"/>
      <c r="AT68" s="6"/>
      <c r="AU68" s="273"/>
    </row>
    <row r="69" spans="2:47" ht="15.75" customHeight="1" x14ac:dyDescent="0.25">
      <c r="B69" s="215"/>
      <c r="C69" s="253" t="s">
        <v>338</v>
      </c>
      <c r="D69" s="236"/>
      <c r="E69" s="66"/>
      <c r="F69" s="66"/>
      <c r="G69" s="66"/>
      <c r="H69" s="17"/>
      <c r="I69" s="17"/>
      <c r="J69" s="17"/>
      <c r="K69" s="217"/>
      <c r="L69" s="135"/>
      <c r="M69" s="17"/>
      <c r="N69" s="17"/>
      <c r="O69" s="17"/>
      <c r="P69" s="17"/>
      <c r="Q69" s="17"/>
      <c r="R69" s="223"/>
      <c r="S69" s="223"/>
      <c r="T69" s="223"/>
      <c r="U69" s="223"/>
      <c r="V69" s="223"/>
      <c r="W69" s="240"/>
      <c r="X69" s="232"/>
      <c r="Y69" s="223"/>
      <c r="Z69" s="223"/>
      <c r="AA69" s="223"/>
      <c r="AB69" s="223"/>
      <c r="AC69" s="223"/>
      <c r="AD69" s="223"/>
      <c r="AE69" s="223"/>
      <c r="AF69" s="223"/>
      <c r="AG69" s="223"/>
      <c r="AH69" s="223"/>
      <c r="AI69" s="240"/>
      <c r="AJ69" s="232"/>
      <c r="AK69" s="223"/>
      <c r="AL69" s="17"/>
      <c r="AM69" s="17"/>
      <c r="AN69" s="17"/>
      <c r="AO69" s="17"/>
      <c r="AP69" s="17"/>
      <c r="AQ69" s="17"/>
      <c r="AR69" s="17"/>
      <c r="AS69" s="17"/>
      <c r="AT69" s="6"/>
      <c r="AU69" s="273"/>
    </row>
    <row r="70" spans="2:47" ht="15.75" hidden="1" customHeight="1" outlineLevel="1" x14ac:dyDescent="0.25">
      <c r="B70" s="226"/>
      <c r="C70" s="254" t="s">
        <v>279</v>
      </c>
      <c r="D70" s="229"/>
      <c r="E70" s="17"/>
      <c r="F70" s="17"/>
      <c r="G70" s="17"/>
      <c r="H70" s="17"/>
      <c r="I70" s="17"/>
      <c r="J70" s="17"/>
      <c r="K70" s="217"/>
      <c r="L70" s="135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238"/>
      <c r="X70" s="229"/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238"/>
      <c r="AJ70" s="229"/>
      <c r="AK70" s="17"/>
      <c r="AL70" s="17"/>
      <c r="AM70" s="17"/>
      <c r="AN70" s="17"/>
      <c r="AO70" s="17"/>
      <c r="AP70" s="17"/>
      <c r="AQ70" s="17"/>
      <c r="AR70" s="17"/>
      <c r="AS70" s="17"/>
      <c r="AT70" s="6"/>
      <c r="AU70" s="273"/>
    </row>
    <row r="71" spans="2:47" ht="15.75" hidden="1" customHeight="1" outlineLevel="1" x14ac:dyDescent="0.25">
      <c r="B71" s="226"/>
      <c r="C71" s="254" t="s">
        <v>282</v>
      </c>
      <c r="D71" s="229"/>
      <c r="E71" s="17"/>
      <c r="F71" s="17"/>
      <c r="G71" s="17"/>
      <c r="H71" s="17"/>
      <c r="I71" s="17"/>
      <c r="J71" s="17"/>
      <c r="K71" s="217"/>
      <c r="L71" s="135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238"/>
      <c r="X71" s="229"/>
      <c r="Y71" s="17"/>
      <c r="Z71" s="17"/>
      <c r="AA71" s="17"/>
      <c r="AB71" s="17"/>
      <c r="AC71" s="17"/>
      <c r="AD71" s="17"/>
      <c r="AE71" s="17"/>
      <c r="AF71" s="17"/>
      <c r="AG71" s="17"/>
      <c r="AH71" s="17"/>
      <c r="AI71" s="238"/>
      <c r="AJ71" s="229"/>
      <c r="AK71" s="17"/>
      <c r="AL71" s="17"/>
      <c r="AM71" s="17"/>
      <c r="AN71" s="17"/>
      <c r="AO71" s="17"/>
      <c r="AP71" s="17"/>
      <c r="AQ71" s="17"/>
      <c r="AR71" s="17"/>
      <c r="AS71" s="17"/>
      <c r="AT71" s="6"/>
      <c r="AU71" s="273"/>
    </row>
    <row r="72" spans="2:47" ht="15.75" hidden="1" customHeight="1" outlineLevel="1" x14ac:dyDescent="0.25">
      <c r="B72" s="226"/>
      <c r="C72" s="254" t="s">
        <v>280</v>
      </c>
      <c r="D72" s="229"/>
      <c r="E72" s="17"/>
      <c r="F72" s="17"/>
      <c r="G72" s="17"/>
      <c r="H72" s="17"/>
      <c r="I72" s="17"/>
      <c r="J72" s="17"/>
      <c r="K72" s="217"/>
      <c r="L72" s="135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238"/>
      <c r="X72" s="229"/>
      <c r="Y72" s="17"/>
      <c r="Z72" s="17"/>
      <c r="AA72" s="17"/>
      <c r="AB72" s="17"/>
      <c r="AC72" s="17"/>
      <c r="AD72" s="17"/>
      <c r="AE72" s="17"/>
      <c r="AF72" s="17"/>
      <c r="AG72" s="17"/>
      <c r="AH72" s="17"/>
      <c r="AI72" s="238"/>
      <c r="AJ72" s="229"/>
      <c r="AK72" s="17"/>
      <c r="AL72" s="17"/>
      <c r="AM72" s="17"/>
      <c r="AN72" s="17"/>
      <c r="AO72" s="17"/>
      <c r="AP72" s="17"/>
      <c r="AQ72" s="17"/>
      <c r="AR72" s="17"/>
      <c r="AS72" s="17"/>
      <c r="AT72" s="6"/>
      <c r="AU72" s="273"/>
    </row>
    <row r="73" spans="2:47" ht="15.75" hidden="1" customHeight="1" outlineLevel="1" x14ac:dyDescent="0.25">
      <c r="B73" s="226"/>
      <c r="C73" s="254" t="s">
        <v>311</v>
      </c>
      <c r="D73" s="229"/>
      <c r="E73" s="17"/>
      <c r="F73" s="17"/>
      <c r="G73" s="17"/>
      <c r="H73" s="17"/>
      <c r="I73" s="17"/>
      <c r="J73" s="17"/>
      <c r="K73" s="217"/>
      <c r="L73" s="135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238"/>
      <c r="X73" s="229"/>
      <c r="Y73" s="17"/>
      <c r="Z73" s="17"/>
      <c r="AA73" s="17"/>
      <c r="AB73" s="17"/>
      <c r="AC73" s="17"/>
      <c r="AD73" s="17"/>
      <c r="AE73" s="17"/>
      <c r="AF73" s="17"/>
      <c r="AG73" s="17"/>
      <c r="AH73" s="17"/>
      <c r="AI73" s="238"/>
      <c r="AJ73" s="229"/>
      <c r="AK73" s="17"/>
      <c r="AL73" s="17"/>
      <c r="AM73" s="17"/>
      <c r="AN73" s="17"/>
      <c r="AO73" s="17"/>
      <c r="AP73" s="17"/>
      <c r="AQ73" s="17"/>
      <c r="AR73" s="17"/>
      <c r="AS73" s="17"/>
      <c r="AT73" s="6"/>
      <c r="AU73" s="273"/>
    </row>
    <row r="74" spans="2:47" ht="15.75" hidden="1" customHeight="1" outlineLevel="1" x14ac:dyDescent="0.25">
      <c r="B74" s="226"/>
      <c r="C74" s="254" t="s">
        <v>281</v>
      </c>
      <c r="D74" s="229"/>
      <c r="E74" s="17"/>
      <c r="F74" s="17"/>
      <c r="G74" s="17"/>
      <c r="H74" s="17"/>
      <c r="I74" s="17"/>
      <c r="J74" s="17"/>
      <c r="K74" s="217"/>
      <c r="L74" s="135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238"/>
      <c r="X74" s="229"/>
      <c r="Y74" s="17"/>
      <c r="Z74" s="17"/>
      <c r="AA74" s="17"/>
      <c r="AB74" s="17"/>
      <c r="AC74" s="17"/>
      <c r="AD74" s="17"/>
      <c r="AE74" s="17"/>
      <c r="AF74" s="17"/>
      <c r="AG74" s="17"/>
      <c r="AH74" s="17"/>
      <c r="AI74" s="238"/>
      <c r="AJ74" s="229"/>
      <c r="AK74" s="17"/>
      <c r="AL74" s="17"/>
      <c r="AM74" s="17"/>
      <c r="AN74" s="17"/>
      <c r="AO74" s="17"/>
      <c r="AP74" s="17"/>
      <c r="AQ74" s="17"/>
      <c r="AR74" s="17"/>
      <c r="AS74" s="17"/>
      <c r="AT74" s="6"/>
      <c r="AU74" s="273"/>
    </row>
    <row r="75" spans="2:47" ht="15.75" hidden="1" customHeight="1" outlineLevel="1" x14ac:dyDescent="0.25">
      <c r="B75" s="226"/>
      <c r="C75" s="254" t="s">
        <v>312</v>
      </c>
      <c r="D75" s="229"/>
      <c r="E75" s="17"/>
      <c r="F75" s="17"/>
      <c r="G75" s="17"/>
      <c r="H75" s="17"/>
      <c r="I75" s="17"/>
      <c r="J75" s="17"/>
      <c r="K75" s="217"/>
      <c r="L75" s="135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238"/>
      <c r="X75" s="229"/>
      <c r="Y75" s="17"/>
      <c r="Z75" s="17"/>
      <c r="AA75" s="17"/>
      <c r="AB75" s="17"/>
      <c r="AC75" s="17"/>
      <c r="AD75" s="17"/>
      <c r="AE75" s="17"/>
      <c r="AF75" s="17"/>
      <c r="AG75" s="17"/>
      <c r="AH75" s="17"/>
      <c r="AI75" s="238"/>
      <c r="AJ75" s="229"/>
      <c r="AK75" s="17"/>
      <c r="AL75" s="17"/>
      <c r="AM75" s="17"/>
      <c r="AN75" s="17"/>
      <c r="AO75" s="17"/>
      <c r="AP75" s="17"/>
      <c r="AQ75" s="17"/>
      <c r="AR75" s="17"/>
      <c r="AS75" s="17"/>
      <c r="AT75" s="6"/>
      <c r="AU75" s="273"/>
    </row>
    <row r="76" spans="2:47" ht="15.75" customHeight="1" collapsed="1" x14ac:dyDescent="0.25">
      <c r="B76" s="215"/>
      <c r="C76" s="253" t="s">
        <v>243</v>
      </c>
      <c r="D76" s="229"/>
      <c r="E76" s="17"/>
      <c r="F76" s="17"/>
      <c r="G76" s="17"/>
      <c r="H76" s="17"/>
      <c r="I76" s="17"/>
      <c r="J76" s="17"/>
      <c r="K76" s="217"/>
      <c r="L76" s="135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238"/>
      <c r="X76" s="229"/>
      <c r="Y76" s="17"/>
      <c r="Z76" s="17"/>
      <c r="AA76" s="17"/>
      <c r="AB76" s="17"/>
      <c r="AC76" s="17"/>
      <c r="AD76" s="17"/>
      <c r="AE76" s="17"/>
      <c r="AF76" s="17"/>
      <c r="AG76" s="17"/>
      <c r="AH76" s="17"/>
      <c r="AI76" s="238"/>
      <c r="AJ76" s="229"/>
      <c r="AK76" s="223"/>
      <c r="AL76" s="223"/>
      <c r="AM76" s="223"/>
      <c r="AN76" s="17"/>
      <c r="AO76" s="17"/>
      <c r="AP76" s="17"/>
      <c r="AQ76" s="17"/>
      <c r="AR76" s="17"/>
      <c r="AS76" s="17"/>
      <c r="AT76" s="6"/>
      <c r="AU76" s="273"/>
    </row>
    <row r="77" spans="2:47" ht="15.75" hidden="1" customHeight="1" outlineLevel="1" x14ac:dyDescent="0.25">
      <c r="B77" s="226"/>
      <c r="C77" s="254" t="s">
        <v>313</v>
      </c>
      <c r="D77" s="229"/>
      <c r="E77" s="17"/>
      <c r="F77" s="17"/>
      <c r="G77" s="17"/>
      <c r="H77" s="17"/>
      <c r="I77" s="17"/>
      <c r="J77" s="17"/>
      <c r="K77" s="217"/>
      <c r="L77" s="135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238"/>
      <c r="X77" s="229"/>
      <c r="Y77" s="17"/>
      <c r="Z77" s="17"/>
      <c r="AA77" s="17"/>
      <c r="AB77" s="17"/>
      <c r="AC77" s="17"/>
      <c r="AD77" s="17"/>
      <c r="AE77" s="17"/>
      <c r="AF77" s="17"/>
      <c r="AG77" s="17"/>
      <c r="AH77" s="17"/>
      <c r="AI77" s="238"/>
      <c r="AJ77" s="229"/>
      <c r="AK77" s="220"/>
      <c r="AL77" s="220"/>
      <c r="AM77" s="17"/>
      <c r="AN77" s="17"/>
      <c r="AO77" s="17"/>
      <c r="AP77" s="17"/>
      <c r="AQ77" s="17"/>
      <c r="AR77" s="17"/>
      <c r="AS77" s="17"/>
      <c r="AT77" s="6"/>
      <c r="AU77" s="273"/>
    </row>
    <row r="78" spans="2:47" ht="15.75" hidden="1" customHeight="1" outlineLevel="1" x14ac:dyDescent="0.25">
      <c r="B78" s="226"/>
      <c r="C78" s="254" t="s">
        <v>314</v>
      </c>
      <c r="D78" s="229"/>
      <c r="E78" s="17"/>
      <c r="F78" s="17"/>
      <c r="G78" s="17"/>
      <c r="H78" s="17"/>
      <c r="I78" s="17"/>
      <c r="J78" s="17"/>
      <c r="K78" s="217"/>
      <c r="L78" s="135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238"/>
      <c r="X78" s="229"/>
      <c r="Y78" s="17"/>
      <c r="Z78" s="17"/>
      <c r="AA78" s="17"/>
      <c r="AB78" s="17"/>
      <c r="AC78" s="17"/>
      <c r="AD78" s="17"/>
      <c r="AE78" s="17"/>
      <c r="AF78" s="17"/>
      <c r="AG78" s="17"/>
      <c r="AH78" s="17"/>
      <c r="AI78" s="238"/>
      <c r="AJ78" s="229"/>
      <c r="AK78" s="17"/>
      <c r="AL78" s="17"/>
      <c r="AM78" s="220"/>
      <c r="AN78" s="17"/>
      <c r="AO78" s="17"/>
      <c r="AP78" s="17"/>
      <c r="AQ78" s="17"/>
      <c r="AR78" s="17"/>
      <c r="AS78" s="17"/>
      <c r="AT78" s="6"/>
      <c r="AU78" s="273"/>
    </row>
    <row r="79" spans="2:47" ht="15.75" customHeight="1" collapsed="1" x14ac:dyDescent="0.25">
      <c r="B79" s="215"/>
      <c r="C79" s="253" t="s">
        <v>244</v>
      </c>
      <c r="D79" s="229"/>
      <c r="E79" s="17"/>
      <c r="F79" s="17"/>
      <c r="G79" s="17"/>
      <c r="H79" s="17"/>
      <c r="I79" s="17"/>
      <c r="J79" s="17"/>
      <c r="K79" s="217"/>
      <c r="L79" s="135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238"/>
      <c r="X79" s="229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238"/>
      <c r="AJ79" s="229"/>
      <c r="AK79" s="17"/>
      <c r="AL79" s="17"/>
      <c r="AM79" s="223"/>
      <c r="AN79" s="223"/>
      <c r="AO79" s="223"/>
      <c r="AP79" s="223"/>
      <c r="AQ79" s="223"/>
      <c r="AR79" s="223"/>
      <c r="AS79" s="17"/>
      <c r="AT79" s="6"/>
      <c r="AU79" s="273"/>
    </row>
    <row r="80" spans="2:47" ht="15.75" customHeight="1" outlineLevel="1" x14ac:dyDescent="0.25">
      <c r="B80" s="226"/>
      <c r="C80" s="257" t="s">
        <v>283</v>
      </c>
      <c r="D80" s="229"/>
      <c r="E80" s="17"/>
      <c r="F80" s="17"/>
      <c r="G80" s="17"/>
      <c r="H80" s="17"/>
      <c r="I80" s="17"/>
      <c r="J80" s="17"/>
      <c r="K80" s="217"/>
      <c r="L80" s="135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238"/>
      <c r="X80" s="229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238"/>
      <c r="AJ80" s="229"/>
      <c r="AK80" s="17"/>
      <c r="AL80" s="17"/>
      <c r="AM80" s="407"/>
      <c r="AN80" s="220"/>
      <c r="AO80" s="17"/>
      <c r="AP80" s="17"/>
      <c r="AQ80" s="17"/>
      <c r="AR80" s="17"/>
      <c r="AS80" s="17"/>
      <c r="AT80" s="6"/>
      <c r="AU80" s="273"/>
    </row>
    <row r="81" spans="2:47" ht="15.75" customHeight="1" outlineLevel="1" x14ac:dyDescent="0.25">
      <c r="B81" s="226"/>
      <c r="C81" s="257" t="s">
        <v>315</v>
      </c>
      <c r="D81" s="229"/>
      <c r="E81" s="17"/>
      <c r="F81" s="17"/>
      <c r="G81" s="17"/>
      <c r="H81" s="17"/>
      <c r="I81" s="17"/>
      <c r="J81" s="17"/>
      <c r="K81" s="217"/>
      <c r="L81" s="135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238"/>
      <c r="X81" s="229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238"/>
      <c r="AJ81" s="229"/>
      <c r="AK81" s="17"/>
      <c r="AL81" s="17"/>
      <c r="AM81" s="17"/>
      <c r="AN81" s="407"/>
      <c r="AO81" s="220"/>
      <c r="AP81" s="17"/>
      <c r="AQ81" s="17"/>
      <c r="AR81" s="17"/>
      <c r="AS81" s="17"/>
      <c r="AT81" s="6"/>
      <c r="AU81" s="273"/>
    </row>
    <row r="82" spans="2:47" ht="15.75" customHeight="1" outlineLevel="1" x14ac:dyDescent="0.25">
      <c r="B82" s="226"/>
      <c r="C82" s="257" t="s">
        <v>285</v>
      </c>
      <c r="D82" s="229"/>
      <c r="E82" s="17"/>
      <c r="F82" s="17"/>
      <c r="G82" s="17"/>
      <c r="H82" s="17"/>
      <c r="I82" s="17"/>
      <c r="J82" s="17"/>
      <c r="K82" s="217"/>
      <c r="L82" s="135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238"/>
      <c r="X82" s="229"/>
      <c r="Y82" s="17"/>
      <c r="Z82" s="17"/>
      <c r="AA82" s="17"/>
      <c r="AB82" s="17"/>
      <c r="AC82" s="17"/>
      <c r="AD82" s="17"/>
      <c r="AE82" s="17"/>
      <c r="AF82" s="17"/>
      <c r="AG82" s="17"/>
      <c r="AH82" s="17"/>
      <c r="AI82" s="238"/>
      <c r="AJ82" s="229"/>
      <c r="AK82" s="17"/>
      <c r="AL82" s="17"/>
      <c r="AM82" s="17"/>
      <c r="AN82" s="17"/>
      <c r="AO82" s="407"/>
      <c r="AP82" s="220"/>
      <c r="AQ82" s="220"/>
      <c r="AR82" s="220"/>
      <c r="AS82" s="17"/>
      <c r="AT82" s="6"/>
      <c r="AU82" s="273"/>
    </row>
    <row r="83" spans="2:47" ht="15.75" customHeight="1" outlineLevel="1" x14ac:dyDescent="0.25">
      <c r="B83" s="226"/>
      <c r="C83" s="257" t="s">
        <v>284</v>
      </c>
      <c r="D83" s="229"/>
      <c r="E83" s="17"/>
      <c r="F83" s="17"/>
      <c r="G83" s="17"/>
      <c r="H83" s="17"/>
      <c r="I83" s="17"/>
      <c r="J83" s="17"/>
      <c r="K83" s="217"/>
      <c r="L83" s="135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238"/>
      <c r="X83" s="229"/>
      <c r="Y83" s="17"/>
      <c r="Z83" s="17"/>
      <c r="AA83" s="17"/>
      <c r="AB83" s="17"/>
      <c r="AC83" s="17"/>
      <c r="AD83" s="17"/>
      <c r="AE83" s="17"/>
      <c r="AF83" s="17"/>
      <c r="AG83" s="17"/>
      <c r="AH83" s="17"/>
      <c r="AI83" s="238"/>
      <c r="AJ83" s="229"/>
      <c r="AK83" s="17"/>
      <c r="AL83" s="17"/>
      <c r="AM83" s="17"/>
      <c r="AN83" s="17"/>
      <c r="AO83" s="17"/>
      <c r="AP83" s="17"/>
      <c r="AQ83" s="407"/>
      <c r="AR83" s="17"/>
      <c r="AS83" s="220"/>
      <c r="AT83" s="6"/>
      <c r="AU83" s="273"/>
    </row>
    <row r="84" spans="2:47" ht="15.75" customHeight="1" outlineLevel="1" x14ac:dyDescent="0.25">
      <c r="B84" s="226"/>
      <c r="C84" s="257" t="s">
        <v>286</v>
      </c>
      <c r="D84" s="229"/>
      <c r="E84" s="17"/>
      <c r="F84" s="17"/>
      <c r="G84" s="17"/>
      <c r="H84" s="17"/>
      <c r="I84" s="17"/>
      <c r="J84" s="17"/>
      <c r="K84" s="217"/>
      <c r="L84" s="135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238"/>
      <c r="X84" s="229"/>
      <c r="Y84" s="17"/>
      <c r="Z84" s="17"/>
      <c r="AA84" s="17"/>
      <c r="AB84" s="17"/>
      <c r="AC84" s="17"/>
      <c r="AD84" s="17"/>
      <c r="AE84" s="17"/>
      <c r="AF84" s="17"/>
      <c r="AG84" s="17"/>
      <c r="AH84" s="17"/>
      <c r="AI84" s="238"/>
      <c r="AJ84" s="229"/>
      <c r="AK84" s="17"/>
      <c r="AL84" s="17"/>
      <c r="AM84" s="17"/>
      <c r="AN84" s="17"/>
      <c r="AO84" s="17"/>
      <c r="AP84" s="17"/>
      <c r="AQ84" s="17"/>
      <c r="AR84" s="407"/>
      <c r="AS84" s="17"/>
      <c r="AT84" s="220"/>
      <c r="AU84" s="273"/>
    </row>
    <row r="85" spans="2:47" ht="15.75" customHeight="1" thickBot="1" x14ac:dyDescent="0.3">
      <c r="B85" s="277"/>
      <c r="C85" s="278" t="s">
        <v>339</v>
      </c>
      <c r="D85" s="234"/>
      <c r="E85" s="222"/>
      <c r="F85" s="222"/>
      <c r="G85" s="222"/>
      <c r="H85" s="222"/>
      <c r="I85" s="222"/>
      <c r="J85" s="222"/>
      <c r="K85" s="261"/>
      <c r="L85" s="280"/>
      <c r="M85" s="222"/>
      <c r="N85" s="222"/>
      <c r="O85" s="222"/>
      <c r="P85" s="222"/>
      <c r="Q85" s="222"/>
      <c r="R85" s="222"/>
      <c r="S85" s="222"/>
      <c r="T85" s="222"/>
      <c r="U85" s="222"/>
      <c r="V85" s="222"/>
      <c r="W85" s="242"/>
      <c r="X85" s="234"/>
      <c r="Y85" s="222"/>
      <c r="Z85" s="222"/>
      <c r="AA85" s="222"/>
      <c r="AB85" s="222"/>
      <c r="AC85" s="222"/>
      <c r="AD85" s="222"/>
      <c r="AE85" s="222"/>
      <c r="AF85" s="222"/>
      <c r="AG85" s="222"/>
      <c r="AH85" s="222"/>
      <c r="AI85" s="242"/>
      <c r="AJ85" s="234"/>
      <c r="AK85" s="222"/>
      <c r="AL85" s="222"/>
      <c r="AM85" s="222"/>
      <c r="AN85" s="222"/>
      <c r="AO85" s="222"/>
      <c r="AP85" s="222"/>
      <c r="AQ85" s="222"/>
      <c r="AR85" s="222"/>
      <c r="AS85" s="406"/>
      <c r="AT85" s="405"/>
      <c r="AU85" s="404"/>
    </row>
    <row r="87" spans="2:47" x14ac:dyDescent="0.25">
      <c r="D87" s="2"/>
      <c r="AB87" s="2"/>
    </row>
    <row r="88" spans="2:47" x14ac:dyDescent="0.25">
      <c r="D88" s="2"/>
      <c r="AB88" s="2"/>
    </row>
    <row r="89" spans="2:47" x14ac:dyDescent="0.25">
      <c r="D89" s="2"/>
      <c r="AB89" s="2"/>
    </row>
    <row r="90" spans="2:47" x14ac:dyDescent="0.25">
      <c r="D90" s="2"/>
      <c r="AB90" s="2"/>
    </row>
  </sheetData>
  <mergeCells count="12">
    <mergeCell ref="B5:AU5"/>
    <mergeCell ref="B33:C33"/>
    <mergeCell ref="B8:B9"/>
    <mergeCell ref="C8:C9"/>
    <mergeCell ref="D7:K7"/>
    <mergeCell ref="L7:W7"/>
    <mergeCell ref="X7:AI7"/>
    <mergeCell ref="AJ7:AU7"/>
    <mergeCell ref="D8:K8"/>
    <mergeCell ref="L8:W8"/>
    <mergeCell ref="X8:AI8"/>
    <mergeCell ref="AJ8:AU8"/>
  </mergeCells>
  <printOptions horizontalCentered="1" verticalCentered="1"/>
  <pageMargins left="0.78740157480314965" right="0.39370078740157483" top="0.35433070866141736" bottom="0.35433070866141736" header="0.31496062992125984" footer="0.31496062992125984"/>
  <pageSetup paperSize="8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Одесская</vt:lpstr>
      <vt:lpstr>формат бюджета</vt:lpstr>
      <vt:lpstr>'формат бюджета'!Область_печати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2012-10-19T13:43:51Z</dcterms:modified>
</cp:coreProperties>
</file>